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C:\#PD-STA\C_ulrich\Schutzbibliothek\Entkupplungsschutzeinrichtungen\Wissen Entkupplungsschutz\Berechnungstools Einstellparameter\Berechnungstool Internet ab Okt 26 Umbau bul\"/>
    </mc:Choice>
  </mc:AlternateContent>
  <xr:revisionPtr revIDLastSave="0" documentId="13_ncr:1_{BA7A2F26-FB45-4C1C-B64F-E36D7D4C0675}" xr6:coauthVersionLast="47" xr6:coauthVersionMax="47" xr10:uidLastSave="{00000000-0000-0000-0000-000000000000}"/>
  <bookViews>
    <workbookView xWindow="-120" yWindow="-120" windowWidth="29040" windowHeight="15840" xr2:uid="{B3CBECF1-5927-4857-87A9-EF889751E103}"/>
  </bookViews>
  <sheets>
    <sheet name="Einstellblatt Einspeiseanlage" sheetId="1" r:id="rId1"/>
    <sheet name="Genaue Daten" sheetId="3" state="hidden" r:id="rId2"/>
    <sheet name="Hilfe" sheetId="2" r:id="rId3"/>
  </sheets>
  <definedNames>
    <definedName name="_xlnm.Print_Area" localSheetId="0">'Einstellblatt Einspeiseanlage'!$B$26:$M$84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26" i="1" l="1" a="1"/>
  <c r="AA26" i="1" s="1"/>
  <c r="AG26" i="1" a="1"/>
  <c r="AG26" i="1" s="1"/>
  <c r="AF26" i="1" a="1"/>
  <c r="AF26" i="1" s="1"/>
  <c r="AC39" i="1"/>
  <c r="AE41" i="1"/>
  <c r="AE39" i="1"/>
  <c r="E34" i="1"/>
  <c r="E58" i="3" l="1"/>
  <c r="C78" i="1"/>
  <c r="E35" i="1"/>
  <c r="C5" i="3" l="1"/>
  <c r="D5" i="3"/>
  <c r="C43" i="3" s="1"/>
  <c r="E51" i="1"/>
  <c r="E52" i="1"/>
  <c r="E51" i="3" l="1" a="1"/>
  <c r="E51" i="3" s="1"/>
  <c r="C17" i="3" a="1"/>
  <c r="C17" i="3" s="1"/>
  <c r="D17" i="3" a="1"/>
  <c r="D17" i="3" s="1"/>
  <c r="E61" i="3"/>
  <c r="AB52" i="1" a="1"/>
  <c r="AB52" i="1" s="1"/>
  <c r="E5" i="3"/>
  <c r="E17" i="3" s="1" a="1"/>
  <c r="E17" i="3" s="1"/>
  <c r="F5" i="3"/>
  <c r="AB26" i="1"/>
  <c r="AA52" i="1" l="1"/>
  <c r="AC52" i="1" s="1"/>
  <c r="J17" i="3" a="1"/>
  <c r="J17" i="3" s="1"/>
  <c r="C22" i="3" a="1"/>
  <c r="C22" i="3" s="1"/>
  <c r="H34" i="3" s="1"/>
  <c r="F17" i="3" a="1"/>
  <c r="F17" i="3" s="1"/>
  <c r="G37" i="3"/>
  <c r="E35" i="3"/>
  <c r="AF36" i="1"/>
  <c r="G35" i="3"/>
  <c r="AF35" i="1"/>
  <c r="AF41" i="1"/>
  <c r="AF38" i="1"/>
  <c r="AF39" i="1"/>
  <c r="AF37" i="1"/>
  <c r="AF42" i="1"/>
  <c r="AF40" i="1"/>
  <c r="C22" i="1" l="1"/>
  <c r="D22" i="3"/>
  <c r="H35" i="3"/>
  <c r="H37" i="3"/>
  <c r="H38" i="3"/>
  <c r="E22" i="3"/>
  <c r="F22" i="3" s="1"/>
  <c r="H33" i="3"/>
  <c r="H36" i="3"/>
  <c r="H31" i="3"/>
  <c r="H32" i="3"/>
  <c r="AE26" i="1"/>
  <c r="AH37" i="1" s="1"/>
  <c r="AJ37" i="1" s="1"/>
  <c r="AC26" i="1"/>
  <c r="AD26" i="1" s="1"/>
  <c r="G22" i="3"/>
  <c r="I52" i="1" l="1"/>
  <c r="I45" i="1"/>
  <c r="I49" i="1"/>
  <c r="C29" i="1"/>
  <c r="G58" i="1"/>
  <c r="J42" i="1"/>
  <c r="J51" i="1"/>
  <c r="J58" i="1"/>
  <c r="K45" i="1"/>
  <c r="E48" i="3"/>
  <c r="E55" i="3" s="1" a="1"/>
  <c r="E55" i="3" s="1"/>
  <c r="J32" i="3"/>
  <c r="L32" i="3" s="1"/>
  <c r="J31" i="3"/>
  <c r="L31" i="3" s="1"/>
  <c r="J33" i="3"/>
  <c r="L33" i="3" s="1"/>
  <c r="J36" i="3"/>
  <c r="L36" i="3" s="1"/>
  <c r="J34" i="3"/>
  <c r="L34" i="3" s="1"/>
  <c r="J37" i="3"/>
  <c r="L37" i="3" s="1"/>
  <c r="J35" i="3"/>
  <c r="L35" i="3" s="1"/>
  <c r="J38" i="3"/>
  <c r="L38" i="3" s="1"/>
  <c r="AH42" i="1"/>
  <c r="AJ42" i="1" s="1"/>
  <c r="AH38" i="1"/>
  <c r="AJ38" i="1" s="1"/>
  <c r="AH39" i="1"/>
  <c r="AJ39" i="1" s="1"/>
  <c r="I48" i="1" s="1"/>
  <c r="AH36" i="1"/>
  <c r="AJ36" i="1" s="1"/>
  <c r="AH35" i="1"/>
  <c r="AJ35" i="1" s="1"/>
  <c r="K42" i="1" s="1"/>
  <c r="AH41" i="1"/>
  <c r="AJ41" i="1" s="1"/>
  <c r="I51" i="1" s="1"/>
  <c r="AH40" i="1"/>
  <c r="AJ40" i="1" s="1"/>
  <c r="I42" i="1" l="1"/>
  <c r="I43" i="1" s="1"/>
  <c r="I46" i="1" s="1"/>
  <c r="I70" i="1"/>
  <c r="I73" i="1"/>
  <c r="J57" i="1"/>
  <c r="C57" i="1"/>
  <c r="G57" i="1"/>
  <c r="O54" i="3" a="1"/>
  <c r="O54" i="3" s="1"/>
  <c r="E64" i="3"/>
  <c r="I72" i="1"/>
  <c r="C58" i="1"/>
  <c r="K52" i="1"/>
  <c r="J69" i="1"/>
  <c r="J48" i="1"/>
  <c r="J72" i="1"/>
  <c r="J45" i="1"/>
  <c r="I69" i="1"/>
  <c r="J43" i="1"/>
  <c r="K51" i="1"/>
  <c r="K48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cellMetadata count="1">
    <bk>
      <rc t="1" v="0"/>
    </bk>
  </cellMetadata>
  <valueMetadata count="3">
    <bk>
      <rc t="2" v="0"/>
    </bk>
    <bk>
      <rc t="2" v="1"/>
    </bk>
    <bk>
      <rc t="2" v="2"/>
    </bk>
  </valueMetadata>
</metadata>
</file>

<file path=xl/sharedStrings.xml><?xml version="1.0" encoding="utf-8"?>
<sst xmlns="http://schemas.openxmlformats.org/spreadsheetml/2006/main" count="180" uniqueCount="131">
  <si>
    <t>Generatortype</t>
  </si>
  <si>
    <t>LVRT - Fähigkeit</t>
  </si>
  <si>
    <t>Messspannung</t>
  </si>
  <si>
    <t>Region</t>
  </si>
  <si>
    <t>Wechselrichter</t>
  </si>
  <si>
    <t>Synchron</t>
  </si>
  <si>
    <t>Asynchron</t>
  </si>
  <si>
    <t>#1</t>
  </si>
  <si>
    <t>nein</t>
  </si>
  <si>
    <t>ja</t>
  </si>
  <si>
    <t>#2</t>
  </si>
  <si>
    <t>#3</t>
  </si>
  <si>
    <t>Mittelspannung</t>
  </si>
  <si>
    <t>Niederspannung</t>
  </si>
  <si>
    <t>DATENFELD (Buttons)</t>
  </si>
  <si>
    <t xml:space="preserve">  Hier Daten eingeben</t>
  </si>
  <si>
    <t xml:space="preserve">  Hier erfolgt die Datenausgabe</t>
  </si>
  <si>
    <t>Region Bregenzerwald 30kV</t>
  </si>
  <si>
    <t>Region Rheintal 10kV</t>
  </si>
  <si>
    <t>Region Bludenz Bürs Bürserberg Brandnertal Nenzing 20kV</t>
  </si>
  <si>
    <t>Region Leiblachtal 20kV</t>
  </si>
  <si>
    <t>Region Walgau 30kV</t>
  </si>
  <si>
    <t>Region Walgau 10kV</t>
  </si>
  <si>
    <t>Region Klostertal 30kV</t>
  </si>
  <si>
    <t>Region St Gallenkirch Gaschurn 20kV</t>
  </si>
  <si>
    <t>Region Lorüns Vandans und Tschagguns Golm 20kV</t>
  </si>
  <si>
    <t>Region Tschagguns Schruns Gamprätz 20kV</t>
  </si>
  <si>
    <t xml:space="preserve">  Informationen zur Ausgabe</t>
  </si>
  <si>
    <t xml:space="preserve">  Hilfestellungen zum Einstellblatt</t>
  </si>
  <si>
    <t>Zurück</t>
  </si>
  <si>
    <t>Hilfestellung Nummer 3</t>
  </si>
  <si>
    <t>Hilfestellung Nummer 2</t>
  </si>
  <si>
    <t>Text 1</t>
  </si>
  <si>
    <t>Text Generell</t>
  </si>
  <si>
    <t>Warnungen</t>
  </si>
  <si>
    <t>Schutzfunktionen</t>
  </si>
  <si>
    <t xml:space="preserve">Werteberechnung </t>
  </si>
  <si>
    <t>#4</t>
  </si>
  <si>
    <r>
      <t>U</t>
    </r>
    <r>
      <rPr>
        <b/>
        <vertAlign val="subscript"/>
        <sz val="11"/>
        <color rgb="FF183A68"/>
        <rFont val="Arial"/>
        <family val="2"/>
      </rPr>
      <t>C</t>
    </r>
  </si>
  <si>
    <t>Wandler-Ü</t>
  </si>
  <si>
    <r>
      <t>Normalwert U</t>
    </r>
    <r>
      <rPr>
        <b/>
        <vertAlign val="subscript"/>
        <sz val="11"/>
        <color rgb="FF183A68"/>
        <rFont val="Arial"/>
        <family val="2"/>
      </rPr>
      <t>L1-L1</t>
    </r>
  </si>
  <si>
    <r>
      <t>Normalwert U</t>
    </r>
    <r>
      <rPr>
        <b/>
        <vertAlign val="subscript"/>
        <sz val="11"/>
        <color rgb="FF183A68"/>
        <rFont val="Arial"/>
        <family val="2"/>
      </rPr>
      <t>L1-N</t>
    </r>
  </si>
  <si>
    <t>Schutzfunktionswerte</t>
  </si>
  <si>
    <t>f (aus)</t>
  </si>
  <si>
    <t>f (wieder ein)</t>
  </si>
  <si>
    <t>Schutzfunktion</t>
  </si>
  <si>
    <t>U &lt;</t>
  </si>
  <si>
    <t>U &gt;</t>
  </si>
  <si>
    <t>U &gt;&gt;</t>
  </si>
  <si>
    <t>U &lt;&lt;</t>
  </si>
  <si>
    <t>f &gt;</t>
  </si>
  <si>
    <t>f &lt;</t>
  </si>
  <si>
    <t>Zuführung des Texts</t>
  </si>
  <si>
    <t>t (sec)</t>
  </si>
  <si>
    <t>Spannung (MS-Seitig, V)</t>
  </si>
  <si>
    <t>Trafo-Ü</t>
  </si>
  <si>
    <t>Bezeichnung</t>
  </si>
  <si>
    <t xml:space="preserve">1. Überspannungsstufe </t>
  </si>
  <si>
    <t>2. Überspannungsstufe</t>
  </si>
  <si>
    <t>1. Unterspannungsstufe</t>
  </si>
  <si>
    <t>2. Unterspannungsstufe</t>
  </si>
  <si>
    <t>Auslösung</t>
  </si>
  <si>
    <t>Wiederzuschaltbedingung</t>
  </si>
  <si>
    <t>Überfrequenz</t>
  </si>
  <si>
    <t>Unterfrequenz</t>
  </si>
  <si>
    <t>Übersicht</t>
  </si>
  <si>
    <r>
      <t>U</t>
    </r>
    <r>
      <rPr>
        <b/>
        <vertAlign val="subscript"/>
        <sz val="10"/>
        <color rgb="FF183A68"/>
        <rFont val="Arial"/>
        <family val="2"/>
      </rPr>
      <t>L-N</t>
    </r>
    <r>
      <rPr>
        <b/>
        <sz val="10"/>
        <color rgb="FF183A68"/>
        <rFont val="Arial"/>
        <family val="2"/>
      </rPr>
      <t xml:space="preserve"> (V)</t>
    </r>
  </si>
  <si>
    <r>
      <t>U</t>
    </r>
    <r>
      <rPr>
        <b/>
        <vertAlign val="subscript"/>
        <sz val="10"/>
        <color rgb="FF183A68"/>
        <rFont val="Arial"/>
        <family val="2"/>
      </rPr>
      <t xml:space="preserve">L-L </t>
    </r>
    <r>
      <rPr>
        <b/>
        <sz val="10"/>
        <color rgb="FF183A68"/>
        <rFont val="Arial"/>
        <family val="2"/>
      </rPr>
      <t>(V)</t>
    </r>
  </si>
  <si>
    <t>Notizen</t>
  </si>
  <si>
    <t>Hilfestellung Nummer 1</t>
  </si>
  <si>
    <t>Spannungsüberwachung</t>
  </si>
  <si>
    <t>Einstellwert</t>
  </si>
  <si>
    <t>Zeit (t) in Sekunden</t>
  </si>
  <si>
    <t>Ich brauche Hilfe bei der Wahl der Region</t>
  </si>
  <si>
    <t>Ich brauche Hilfe bei der Wahl der Transformatorübersetzung</t>
  </si>
  <si>
    <t>LVRT-Fähigkeit</t>
  </si>
  <si>
    <t>Trafo-Übersetzung</t>
  </si>
  <si>
    <t>Spannungsabhängige Schutzfunktionen</t>
  </si>
  <si>
    <t>Frequenzabhängige Schutzfunktionen</t>
  </si>
  <si>
    <t>Eingabe am Einstellblatt</t>
  </si>
  <si>
    <t>f (Auslösung)</t>
  </si>
  <si>
    <t>f (Wiederzuschaltung)</t>
  </si>
  <si>
    <t>Die genaue Region bestimmen zu können, ist oft nicht Trivial</t>
  </si>
  <si>
    <t>Anlage</t>
  </si>
  <si>
    <t>Anlage:</t>
  </si>
  <si>
    <t>&lt;&lt;&lt; scrollen für weitere Punkte</t>
  </si>
  <si>
    <t>&lt;&lt;&lt; scrollen für weitere Punkte &gt;&gt;&gt;</t>
  </si>
  <si>
    <t>scrollen für weitere Punkte &gt;&gt;&gt;</t>
  </si>
  <si>
    <t>Niederspannungsebene</t>
  </si>
  <si>
    <t>Mittelspannungsebene</t>
  </si>
  <si>
    <t xml:space="preserve"> </t>
  </si>
  <si>
    <t>Datenfeld (Auswahlmöglichkeiten der Drop-down-Felder)</t>
  </si>
  <si>
    <t>Allgemeine Werteberechnungen</t>
  </si>
  <si>
    <t>Informationswerte</t>
  </si>
  <si>
    <t>Infotext</t>
  </si>
  <si>
    <t>Fehler</t>
  </si>
  <si>
    <t>Info Generatortype</t>
  </si>
  <si>
    <t>Infotext Status</t>
  </si>
  <si>
    <t>Ausgabetext</t>
  </si>
  <si>
    <t>Anlagenname</t>
  </si>
  <si>
    <t>Sternleiterspannungen    NEIN
Außenleiterspannungen  JA</t>
  </si>
  <si>
    <t>Anlagenname:</t>
  </si>
  <si>
    <t>Muss bei jeder Anlage ab Inbetriebnahmedatum 01.01.2021 ausgeführt sein!</t>
  </si>
  <si>
    <t xml:space="preserve">Findet sich auf dem Typenschild des Transformators.
Beispiel Angabe am Typenschild " Oberspannung Stufe 1 23500, Stufe 2 23000, Stufe 3 22500, Unterspannung 0,420. Die Erhebung der Stufenschalterstellung ergab 2. Somit ist die Übersetzung 23000/420 = 54,76. Diese Zahl muss dann im Feld unter "Übersetzung" eingetragen werden.
Wenn die Messung Mittelspannungsseitig erfolgt, ist keine Trafo-Übersetzung notwendig. Die hier verwendete Übersetzung des Messwandlers wird je nach Spannungsebene mit einem Standardwert angenommen. Sollte der tatsächliche Wert vom Standardwert abweichen, wenden Sie sich an die Abteilung Schutz- und Leittechnik der Vorarlberger Energienetze in Bregenz.
</t>
  </si>
  <si>
    <t xml:space="preserve">  Einstellparameter Einspeiseanlage Mittelspannungsanlage</t>
  </si>
  <si>
    <t xml:space="preserve">Spannung </t>
  </si>
  <si>
    <t xml:space="preserve">Zeit </t>
  </si>
  <si>
    <t>30kV Bregenzerwald</t>
  </si>
  <si>
    <t>10kV Rheintal</t>
  </si>
  <si>
    <t xml:space="preserve">20kV Leiblachtal </t>
  </si>
  <si>
    <t>30kV Walgau</t>
  </si>
  <si>
    <t>10kV Walgau</t>
  </si>
  <si>
    <t>30kV Klostertal</t>
  </si>
  <si>
    <t>20kV St Gallenkirch Gaschurn</t>
  </si>
  <si>
    <t>20kV Lorüns Vandans Tschagguns Golm</t>
  </si>
  <si>
    <t>20kV Tschagguns Schruns Gamprätz</t>
  </si>
  <si>
    <t xml:space="preserve">20kV Bludenz Bürs Bürserb. Brandnertal Nenzing </t>
  </si>
  <si>
    <t xml:space="preserve">     Für Kunden - Einspeisestationen einer 3 stelligen Stationsnummer mit der Anfangsziffer 9 oder 4</t>
  </si>
  <si>
    <t>Trafoübersetzungsgrenzen</t>
  </si>
  <si>
    <t>max</t>
  </si>
  <si>
    <t>Trafo-Ü  min</t>
  </si>
  <si>
    <t>Trafo-Ü   max</t>
  </si>
  <si>
    <t>Spg.-Werte</t>
  </si>
  <si>
    <r>
      <t>U(</t>
    </r>
    <r>
      <rPr>
        <vertAlign val="subscript"/>
        <sz val="11"/>
        <color theme="0"/>
        <rFont val="Arial"/>
        <family val="2"/>
      </rPr>
      <t>L-L)</t>
    </r>
    <r>
      <rPr>
        <sz val="11"/>
        <color theme="0"/>
        <rFont val="Arial"/>
        <family val="2"/>
      </rPr>
      <t xml:space="preserve"> = U(L-N) * 1,732
U(L-N) = U(L-L) / 1,732
Sternleiterspannungen    JA
Außenleiterspannungen  JA</t>
    </r>
  </si>
  <si>
    <t xml:space="preserve">Wenn Sie unter den gegebenen Regions-Optionen keine eindeutige Wahl treffen können, wenden Sie sich an die Abteilung Schutz- und Leittechnik der Vorarlberger Energienetze in Bregenz. </t>
  </si>
  <si>
    <r>
      <t>U</t>
    </r>
    <r>
      <rPr>
        <b/>
        <vertAlign val="subscript"/>
        <sz val="11"/>
        <color theme="0"/>
        <rFont val="Arial"/>
        <family val="2"/>
      </rPr>
      <t>C</t>
    </r>
  </si>
  <si>
    <r>
      <t>Normalwert U</t>
    </r>
    <r>
      <rPr>
        <b/>
        <vertAlign val="subscript"/>
        <sz val="11"/>
        <color theme="0"/>
        <rFont val="Arial"/>
        <family val="2"/>
      </rPr>
      <t>L1-L1</t>
    </r>
  </si>
  <si>
    <r>
      <t>Normalwert U</t>
    </r>
    <r>
      <rPr>
        <b/>
        <vertAlign val="subscript"/>
        <sz val="11"/>
        <color theme="0"/>
        <rFont val="Arial"/>
        <family val="2"/>
      </rPr>
      <t>L1-N</t>
    </r>
  </si>
  <si>
    <r>
      <t>U</t>
    </r>
    <r>
      <rPr>
        <b/>
        <vertAlign val="subscript"/>
        <sz val="10"/>
        <color theme="0"/>
        <rFont val="Arial"/>
        <family val="2"/>
      </rPr>
      <t xml:space="preserve">L-L </t>
    </r>
    <r>
      <rPr>
        <b/>
        <sz val="10"/>
        <color theme="0"/>
        <rFont val="Arial"/>
        <family val="2"/>
      </rPr>
      <t>(V)</t>
    </r>
  </si>
  <si>
    <r>
      <t>U</t>
    </r>
    <r>
      <rPr>
        <b/>
        <vertAlign val="subscript"/>
        <sz val="10"/>
        <color theme="0"/>
        <rFont val="Arial"/>
        <family val="2"/>
      </rPr>
      <t>L-N</t>
    </r>
    <r>
      <rPr>
        <b/>
        <sz val="10"/>
        <color theme="0"/>
        <rFont val="Arial"/>
        <family val="2"/>
      </rPr>
      <t xml:space="preserve"> (V)</t>
    </r>
  </si>
  <si>
    <t>30kV Großwalsertal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</si>
</sst>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0.00&quot; s&quot;"/>
    <numFmt numFmtId="166" formatCode="0.00&quot; Hz&quot;"/>
    <numFmt numFmtId="167" formatCode="0.00\ &quot;V&quot;"/>
  </numFmts>
  <fonts count="45">
    <font>
      <sz val="11"/>
      <color theme="1"/>
      <name val="Arial"/>
      <family val="2"/>
    </font>
    <font>
      <sz val="11"/>
      <color rgb="FF183A68"/>
      <name val="haas"/>
    </font>
    <font>
      <sz val="20"/>
      <color rgb="FF183A68"/>
      <name val="Arial"/>
      <family val="2"/>
    </font>
    <font>
      <sz val="11"/>
      <name val="Arial"/>
      <family val="2"/>
    </font>
    <font>
      <b/>
      <sz val="11"/>
      <color rgb="FF183A68"/>
      <name val="Arial"/>
      <family val="2"/>
    </font>
    <font>
      <sz val="11"/>
      <color rgb="FF183A68"/>
      <name val="Arial"/>
      <family val="2"/>
    </font>
    <font>
      <sz val="11"/>
      <color theme="1"/>
      <name val="Arial"/>
      <family val="2"/>
    </font>
    <font>
      <sz val="11"/>
      <color rgb="FFFFD401"/>
      <name val="Arial"/>
      <family val="2"/>
    </font>
    <font>
      <b/>
      <u/>
      <sz val="11"/>
      <color rgb="FF183A68"/>
      <name val="Arial"/>
      <family val="2"/>
    </font>
    <font>
      <i/>
      <sz val="9"/>
      <color rgb="FF183A68"/>
      <name val="Arial"/>
      <family val="2"/>
    </font>
    <font>
      <b/>
      <vertAlign val="subscript"/>
      <sz val="11"/>
      <color rgb="FF183A68"/>
      <name val="Arial"/>
      <family val="2"/>
    </font>
    <font>
      <b/>
      <sz val="10"/>
      <color rgb="FF183A68"/>
      <name val="Arial"/>
      <family val="2"/>
    </font>
    <font>
      <b/>
      <sz val="12"/>
      <color rgb="FF183A68"/>
      <name val="Arial"/>
      <family val="2"/>
    </font>
    <font>
      <b/>
      <vertAlign val="subscript"/>
      <sz val="10"/>
      <color rgb="FF183A68"/>
      <name val="Arial"/>
      <family val="2"/>
    </font>
    <font>
      <sz val="12"/>
      <name val="Arial"/>
      <family val="2"/>
    </font>
    <font>
      <sz val="12"/>
      <color rgb="FF183A68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8"/>
      <color rgb="FF183A6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16"/>
      <color rgb="FF183A68"/>
      <name val="Arial"/>
      <family val="2"/>
    </font>
    <font>
      <sz val="13"/>
      <color rgb="FF183A68"/>
      <name val="Arial"/>
      <family val="2"/>
    </font>
    <font>
      <b/>
      <sz val="13"/>
      <color rgb="FF183A68"/>
      <name val="Arial"/>
      <family val="2"/>
    </font>
    <font>
      <sz val="11"/>
      <color theme="0" tint="-0.14999847407452621"/>
      <name val="Arial"/>
      <family val="2"/>
    </font>
    <font>
      <sz val="9"/>
      <color rgb="FF183A68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9"/>
      <color rgb="FF183A68"/>
      <name val="Arial"/>
      <family val="2"/>
    </font>
    <font>
      <sz val="9"/>
      <color theme="0"/>
      <name val="Arial"/>
      <family val="2"/>
    </font>
    <font>
      <sz val="9"/>
      <color rgb="FFFFD401"/>
      <name val="Arial"/>
      <family val="2"/>
    </font>
    <font>
      <sz val="9"/>
      <color rgb="FFE20612"/>
      <name val="Arial"/>
      <family val="2"/>
    </font>
    <font>
      <sz val="9"/>
      <color rgb="FFFFC000"/>
      <name val="Arial"/>
      <family val="2"/>
    </font>
    <font>
      <b/>
      <i/>
      <sz val="9"/>
      <color rgb="FFE20612"/>
      <name val="Mat"/>
    </font>
    <font>
      <sz val="11"/>
      <color theme="0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theme="5"/>
      <name val="Arial"/>
      <family val="2"/>
    </font>
    <font>
      <vertAlign val="subscript"/>
      <sz val="11"/>
      <color theme="0"/>
      <name val="Arial"/>
      <family val="2"/>
    </font>
    <font>
      <sz val="11"/>
      <color rgb="FFC00000"/>
      <name val="Arial"/>
      <family val="2"/>
    </font>
    <font>
      <b/>
      <sz val="11"/>
      <color rgb="FFC00000"/>
      <name val="Arial"/>
      <family val="2"/>
    </font>
    <font>
      <b/>
      <vertAlign val="subscript"/>
      <sz val="11"/>
      <color theme="0"/>
      <name val="Arial"/>
      <family val="2"/>
    </font>
    <font>
      <b/>
      <sz val="10"/>
      <color theme="0"/>
      <name val="Arial"/>
      <family val="2"/>
    </font>
    <font>
      <b/>
      <vertAlign val="subscript"/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D4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83A6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medium">
        <color rgb="FFE20612"/>
      </left>
      <right style="medium">
        <color rgb="FFE20612"/>
      </right>
      <top style="medium">
        <color rgb="FFE20612"/>
      </top>
      <bottom style="medium">
        <color rgb="FFE20612"/>
      </bottom>
      <diagonal/>
    </border>
    <border>
      <left style="medium">
        <color rgb="FFE20612"/>
      </left>
      <right/>
      <top style="medium">
        <color rgb="FFE20612"/>
      </top>
      <bottom/>
      <diagonal/>
    </border>
    <border>
      <left/>
      <right/>
      <top style="medium">
        <color rgb="FFE20612"/>
      </top>
      <bottom/>
      <diagonal/>
    </border>
    <border>
      <left/>
      <right style="medium">
        <color rgb="FFE20612"/>
      </right>
      <top style="medium">
        <color rgb="FFE20612"/>
      </top>
      <bottom/>
      <diagonal/>
    </border>
    <border>
      <left style="medium">
        <color rgb="FFE20612"/>
      </left>
      <right/>
      <top/>
      <bottom/>
      <diagonal/>
    </border>
    <border>
      <left/>
      <right style="medium">
        <color rgb="FFE20612"/>
      </right>
      <top/>
      <bottom/>
      <diagonal/>
    </border>
    <border>
      <left style="medium">
        <color rgb="FFE20612"/>
      </left>
      <right/>
      <top/>
      <bottom style="medium">
        <color rgb="FFE20612"/>
      </bottom>
      <diagonal/>
    </border>
    <border>
      <left/>
      <right/>
      <top/>
      <bottom style="medium">
        <color rgb="FFE20612"/>
      </bottom>
      <diagonal/>
    </border>
    <border>
      <left/>
      <right style="medium">
        <color rgb="FFE20612"/>
      </right>
      <top/>
      <bottom style="medium">
        <color rgb="FFE20612"/>
      </bottom>
      <diagonal/>
    </border>
    <border>
      <left/>
      <right/>
      <top/>
      <bottom style="thin">
        <color rgb="FFE20612"/>
      </bottom>
      <diagonal/>
    </border>
    <border>
      <left/>
      <right/>
      <top style="thin">
        <color rgb="FFE20612"/>
      </top>
      <bottom style="thin">
        <color rgb="FFE20612"/>
      </bottom>
      <diagonal/>
    </border>
    <border>
      <left/>
      <right/>
      <top style="thin">
        <color rgb="FFE20612"/>
      </top>
      <bottom/>
      <diagonal/>
    </border>
    <border>
      <left style="medium">
        <color rgb="FFE20612"/>
      </left>
      <right style="medium">
        <color rgb="FFE20612"/>
      </right>
      <top style="medium">
        <color rgb="FFE20612"/>
      </top>
      <bottom/>
      <diagonal/>
    </border>
    <border>
      <left style="medium">
        <color rgb="FFE20612"/>
      </left>
      <right style="medium">
        <color rgb="FFE20612"/>
      </right>
      <top/>
      <bottom style="medium">
        <color rgb="FFE20612"/>
      </bottom>
      <diagonal/>
    </border>
    <border>
      <left style="medium">
        <color rgb="FFE20612"/>
      </left>
      <right style="medium">
        <color rgb="FFE20612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theme="2" tint="-9.9948118533890809E-2"/>
      </left>
      <right/>
      <top style="medium">
        <color theme="2" tint="-9.9948118533890809E-2"/>
      </top>
      <bottom/>
      <diagonal/>
    </border>
    <border>
      <left/>
      <right/>
      <top style="medium">
        <color theme="2" tint="-9.9948118533890809E-2"/>
      </top>
      <bottom/>
      <diagonal/>
    </border>
    <border>
      <left/>
      <right style="medium">
        <color theme="2" tint="-9.9948118533890809E-2"/>
      </right>
      <top style="medium">
        <color theme="2" tint="-9.9948118533890809E-2"/>
      </top>
      <bottom/>
      <diagonal/>
    </border>
    <border>
      <left style="medium">
        <color theme="2" tint="-9.9948118533890809E-2"/>
      </left>
      <right/>
      <top/>
      <bottom/>
      <diagonal/>
    </border>
    <border>
      <left/>
      <right style="medium">
        <color theme="2" tint="-9.9948118533890809E-2"/>
      </right>
      <top/>
      <bottom/>
      <diagonal/>
    </border>
    <border>
      <left style="medium">
        <color theme="2" tint="-9.9948118533890809E-2"/>
      </left>
      <right/>
      <top/>
      <bottom style="medium">
        <color theme="2" tint="-9.9948118533890809E-2"/>
      </bottom>
      <diagonal/>
    </border>
    <border>
      <left/>
      <right/>
      <top/>
      <bottom style="medium">
        <color theme="2" tint="-9.9948118533890809E-2"/>
      </bottom>
      <diagonal/>
    </border>
    <border>
      <left/>
      <right style="medium">
        <color theme="2" tint="-9.9948118533890809E-2"/>
      </right>
      <top/>
      <bottom style="medium">
        <color theme="2" tint="-9.9948118533890809E-2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84">
    <xf numFmtId="0" fontId="0" fillId="0" borderId="0" xfId="0"/>
    <xf numFmtId="0" fontId="0" fillId="3" borderId="0" xfId="0" applyFill="1"/>
    <xf numFmtId="0" fontId="4" fillId="3" borderId="0" xfId="0" applyFont="1" applyFill="1"/>
    <xf numFmtId="0" fontId="5" fillId="3" borderId="0" xfId="0" applyFont="1" applyFill="1"/>
    <xf numFmtId="0" fontId="0" fillId="3" borderId="3" xfId="0" applyFill="1" applyBorder="1"/>
    <xf numFmtId="0" fontId="4" fillId="3" borderId="0" xfId="0" applyFont="1" applyFill="1" applyProtection="1">
      <protection hidden="1"/>
    </xf>
    <xf numFmtId="0" fontId="0" fillId="3" borderId="0" xfId="0" applyFill="1" applyProtection="1">
      <protection hidden="1"/>
    </xf>
    <xf numFmtId="0" fontId="5" fillId="3" borderId="0" xfId="0" applyFont="1" applyFill="1" applyProtection="1">
      <protection hidden="1"/>
    </xf>
    <xf numFmtId="0" fontId="15" fillId="3" borderId="10" xfId="0" applyFont="1" applyFill="1" applyBorder="1" applyAlignment="1" applyProtection="1">
      <alignment horizontal="center"/>
      <protection hidden="1"/>
    </xf>
    <xf numFmtId="0" fontId="16" fillId="3" borderId="12" xfId="0" applyFont="1" applyFill="1" applyBorder="1" applyProtection="1">
      <protection hidden="1"/>
    </xf>
    <xf numFmtId="0" fontId="16" fillId="3" borderId="0" xfId="0" applyFont="1" applyFill="1" applyProtection="1">
      <protection hidden="1"/>
    </xf>
    <xf numFmtId="0" fontId="0" fillId="5" borderId="0" xfId="0" applyFill="1" applyProtection="1">
      <protection hidden="1"/>
    </xf>
    <xf numFmtId="0" fontId="0" fillId="3" borderId="3" xfId="0" applyFill="1" applyBorder="1" applyAlignment="1">
      <alignment horizontal="center"/>
    </xf>
    <xf numFmtId="0" fontId="0" fillId="6" borderId="0" xfId="0" applyFill="1" applyAlignment="1">
      <alignment horizontal="center" vertical="center"/>
    </xf>
    <xf numFmtId="0" fontId="0" fillId="6" borderId="0" xfId="0" applyFill="1"/>
    <xf numFmtId="0" fontId="0" fillId="3" borderId="18" xfId="0" applyFill="1" applyBorder="1" applyAlignment="1">
      <alignment horizontal="center" vertical="center"/>
    </xf>
    <xf numFmtId="0" fontId="0" fillId="3" borderId="18" xfId="0" applyFill="1" applyBorder="1"/>
    <xf numFmtId="164" fontId="0" fillId="3" borderId="18" xfId="1" applyNumberFormat="1" applyFont="1" applyFill="1" applyBorder="1" applyAlignment="1" applyProtection="1">
      <alignment horizontal="center"/>
    </xf>
    <xf numFmtId="0" fontId="5" fillId="3" borderId="17" xfId="0" applyFont="1" applyFill="1" applyBorder="1"/>
    <xf numFmtId="0" fontId="0" fillId="3" borderId="17" xfId="0" applyFill="1" applyBorder="1"/>
    <xf numFmtId="164" fontId="0" fillId="3" borderId="17" xfId="1" applyNumberFormat="1" applyFont="1" applyFill="1" applyBorder="1" applyAlignment="1" applyProtection="1">
      <alignment horizontal="center"/>
    </xf>
    <xf numFmtId="0" fontId="0" fillId="3" borderId="16" xfId="0" applyFill="1" applyBorder="1"/>
    <xf numFmtId="164" fontId="0" fillId="3" borderId="16" xfId="1" applyNumberFormat="1" applyFont="1" applyFill="1" applyBorder="1" applyAlignment="1" applyProtection="1">
      <alignment horizontal="center"/>
    </xf>
    <xf numFmtId="0" fontId="5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0" fillId="2" borderId="17" xfId="0" applyFill="1" applyBorder="1"/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6" borderId="17" xfId="0" applyFont="1" applyFill="1" applyBorder="1" applyAlignment="1">
      <alignment horizontal="center" vertical="center"/>
    </xf>
    <xf numFmtId="2" fontId="3" fillId="6" borderId="17" xfId="0" applyNumberFormat="1" applyFont="1" applyFill="1" applyBorder="1" applyAlignment="1">
      <alignment horizontal="center" vertical="center"/>
    </xf>
    <xf numFmtId="4" fontId="3" fillId="6" borderId="17" xfId="0" applyNumberFormat="1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/>
    </xf>
    <xf numFmtId="0" fontId="0" fillId="6" borderId="17" xfId="0" applyFill="1" applyBorder="1"/>
    <xf numFmtId="0" fontId="4" fillId="3" borderId="18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11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 wrapText="1"/>
    </xf>
    <xf numFmtId="0" fontId="3" fillId="5" borderId="12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0" fillId="3" borderId="10" xfId="0" applyFill="1" applyBorder="1"/>
    <xf numFmtId="0" fontId="0" fillId="3" borderId="12" xfId="0" applyFill="1" applyBorder="1" applyAlignment="1">
      <alignment horizontal="center"/>
    </xf>
    <xf numFmtId="0" fontId="0" fillId="3" borderId="12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2" xfId="0" applyFill="1" applyBorder="1"/>
    <xf numFmtId="0" fontId="27" fillId="3" borderId="0" xfId="0" applyFont="1" applyFill="1" applyProtection="1">
      <protection hidden="1"/>
    </xf>
    <xf numFmtId="0" fontId="27" fillId="3" borderId="0" xfId="0" applyFont="1" applyFill="1" applyAlignment="1" applyProtection="1">
      <alignment horizontal="center"/>
      <protection hidden="1"/>
    </xf>
    <xf numFmtId="0" fontId="28" fillId="3" borderId="0" xfId="0" applyFont="1" applyFill="1" applyAlignment="1" applyProtection="1">
      <alignment horizontal="center"/>
      <protection hidden="1"/>
    </xf>
    <xf numFmtId="0" fontId="28" fillId="3" borderId="0" xfId="0" applyFont="1" applyFill="1" applyProtection="1">
      <protection hidden="1"/>
    </xf>
    <xf numFmtId="0" fontId="7" fillId="4" borderId="1" xfId="0" applyFont="1" applyFill="1" applyBorder="1" applyAlignment="1" applyProtection="1">
      <alignment horizont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8" fillId="3" borderId="0" xfId="0" applyFont="1" applyFill="1" applyProtection="1">
      <protection hidden="1"/>
    </xf>
    <xf numFmtId="0" fontId="0" fillId="3" borderId="0" xfId="0" applyFill="1" applyAlignment="1" applyProtection="1">
      <alignment horizontal="center" vertical="center"/>
      <protection hidden="1"/>
    </xf>
    <xf numFmtId="0" fontId="7" fillId="3" borderId="0" xfId="0" applyFont="1" applyFill="1" applyAlignment="1" applyProtection="1">
      <alignment horizontal="center"/>
      <protection hidden="1"/>
    </xf>
    <xf numFmtId="0" fontId="29" fillId="3" borderId="0" xfId="0" applyFont="1" applyFill="1" applyAlignment="1">
      <alignment horizontal="left" vertical="center" wrapText="1"/>
    </xf>
    <xf numFmtId="0" fontId="26" fillId="3" borderId="0" xfId="0" applyFont="1" applyFill="1" applyAlignment="1">
      <alignment vertical="top" wrapText="1"/>
    </xf>
    <xf numFmtId="0" fontId="31" fillId="3" borderId="0" xfId="0" applyFont="1" applyFill="1" applyAlignment="1">
      <alignment vertical="top" wrapText="1"/>
    </xf>
    <xf numFmtId="164" fontId="4" fillId="2" borderId="17" xfId="1" applyNumberFormat="1" applyFont="1" applyFill="1" applyBorder="1" applyAlignment="1" applyProtection="1">
      <alignment horizontal="right"/>
    </xf>
    <xf numFmtId="0" fontId="4" fillId="3" borderId="0" xfId="0" applyFont="1" applyFill="1" applyAlignment="1" applyProtection="1">
      <alignment horizontal="center"/>
      <protection hidden="1"/>
    </xf>
    <xf numFmtId="0" fontId="28" fillId="3" borderId="0" xfId="0" applyFont="1" applyFill="1" applyAlignment="1" applyProtection="1">
      <alignment horizontal="center" vertical="center"/>
      <protection hidden="1"/>
    </xf>
    <xf numFmtId="0" fontId="21" fillId="3" borderId="0" xfId="0" applyFont="1" applyFill="1" applyProtection="1">
      <protection hidden="1"/>
    </xf>
    <xf numFmtId="0" fontId="0" fillId="3" borderId="19" xfId="0" applyFill="1" applyBorder="1" applyProtection="1">
      <protection hidden="1"/>
    </xf>
    <xf numFmtId="0" fontId="0" fillId="3" borderId="20" xfId="0" applyFill="1" applyBorder="1" applyProtection="1">
      <protection hidden="1"/>
    </xf>
    <xf numFmtId="0" fontId="0" fillId="0" borderId="20" xfId="0" quotePrefix="1" applyBorder="1"/>
    <xf numFmtId="0" fontId="4" fillId="3" borderId="21" xfId="0" applyFont="1" applyFill="1" applyBorder="1" applyProtection="1">
      <protection hidden="1"/>
    </xf>
    <xf numFmtId="0" fontId="4" fillId="3" borderId="22" xfId="0" applyFont="1" applyFill="1" applyBorder="1" applyProtection="1">
      <protection hidden="1"/>
    </xf>
    <xf numFmtId="0" fontId="0" fillId="3" borderId="23" xfId="0" applyFill="1" applyBorder="1" applyProtection="1">
      <protection hidden="1"/>
    </xf>
    <xf numFmtId="0" fontId="0" fillId="3" borderId="22" xfId="0" applyFill="1" applyBorder="1" applyProtection="1">
      <protection hidden="1"/>
    </xf>
    <xf numFmtId="0" fontId="5" fillId="3" borderId="22" xfId="0" applyFont="1" applyFill="1" applyBorder="1" applyProtection="1">
      <protection hidden="1"/>
    </xf>
    <xf numFmtId="0" fontId="5" fillId="3" borderId="23" xfId="0" applyFont="1" applyFill="1" applyBorder="1" applyProtection="1">
      <protection hidden="1"/>
    </xf>
    <xf numFmtId="0" fontId="0" fillId="3" borderId="24" xfId="0" applyFill="1" applyBorder="1" applyProtection="1">
      <protection hidden="1"/>
    </xf>
    <xf numFmtId="0" fontId="0" fillId="3" borderId="25" xfId="0" applyFill="1" applyBorder="1" applyProtection="1">
      <protection hidden="1"/>
    </xf>
    <xf numFmtId="0" fontId="0" fillId="3" borderId="26" xfId="0" applyFill="1" applyBorder="1" applyProtection="1">
      <protection hidden="1"/>
    </xf>
    <xf numFmtId="0" fontId="0" fillId="5" borderId="19" xfId="0" applyFill="1" applyBorder="1" applyProtection="1">
      <protection hidden="1"/>
    </xf>
    <xf numFmtId="0" fontId="0" fillId="5" borderId="20" xfId="0" applyFill="1" applyBorder="1" applyProtection="1">
      <protection hidden="1"/>
    </xf>
    <xf numFmtId="0" fontId="0" fillId="5" borderId="21" xfId="0" applyFill="1" applyBorder="1" applyProtection="1">
      <protection hidden="1"/>
    </xf>
    <xf numFmtId="0" fontId="0" fillId="5" borderId="22" xfId="0" applyFill="1" applyBorder="1" applyProtection="1">
      <protection hidden="1"/>
    </xf>
    <xf numFmtId="0" fontId="0" fillId="5" borderId="23" xfId="0" applyFill="1" applyBorder="1" applyProtection="1">
      <protection hidden="1"/>
    </xf>
    <xf numFmtId="0" fontId="0" fillId="5" borderId="24" xfId="0" applyFill="1" applyBorder="1" applyProtection="1">
      <protection hidden="1"/>
    </xf>
    <xf numFmtId="0" fontId="0" fillId="5" borderId="25" xfId="0" applyFill="1" applyBorder="1" applyProtection="1">
      <protection hidden="1"/>
    </xf>
    <xf numFmtId="0" fontId="0" fillId="5" borderId="26" xfId="0" applyFill="1" applyBorder="1" applyProtection="1">
      <protection hidden="1"/>
    </xf>
    <xf numFmtId="0" fontId="12" fillId="3" borderId="0" xfId="0" applyFont="1" applyFill="1" applyAlignment="1" applyProtection="1">
      <alignment vertical="center"/>
      <protection hidden="1"/>
    </xf>
    <xf numFmtId="0" fontId="15" fillId="3" borderId="0" xfId="0" applyFont="1" applyFill="1" applyProtection="1">
      <protection hidden="1"/>
    </xf>
    <xf numFmtId="0" fontId="24" fillId="3" borderId="0" xfId="0" applyFont="1" applyFill="1" applyAlignment="1" applyProtection="1">
      <alignment horizontal="right" vertical="center"/>
      <protection hidden="1"/>
    </xf>
    <xf numFmtId="0" fontId="24" fillId="3" borderId="0" xfId="0" applyFont="1" applyFill="1" applyAlignment="1" applyProtection="1">
      <alignment vertical="center"/>
      <protection hidden="1"/>
    </xf>
    <xf numFmtId="0" fontId="15" fillId="3" borderId="0" xfId="0" applyFont="1" applyFill="1" applyAlignment="1" applyProtection="1">
      <alignment horizontal="center"/>
      <protection hidden="1"/>
    </xf>
    <xf numFmtId="0" fontId="18" fillId="5" borderId="0" xfId="0" applyFont="1" applyFill="1" applyAlignment="1" applyProtection="1">
      <alignment horizontal="left" vertical="center"/>
      <protection hidden="1"/>
    </xf>
    <xf numFmtId="0" fontId="18" fillId="5" borderId="0" xfId="0" applyFont="1" applyFill="1" applyAlignment="1" applyProtection="1">
      <alignment horizontal="left" vertical="center" indent="5"/>
      <protection hidden="1"/>
    </xf>
    <xf numFmtId="0" fontId="15" fillId="5" borderId="0" xfId="0" applyFont="1" applyFill="1" applyAlignment="1" applyProtection="1">
      <alignment horizontal="center"/>
      <protection hidden="1"/>
    </xf>
    <xf numFmtId="2" fontId="16" fillId="5" borderId="0" xfId="0" applyNumberFormat="1" applyFont="1" applyFill="1" applyAlignment="1" applyProtection="1">
      <alignment horizontal="center"/>
      <protection hidden="1"/>
    </xf>
    <xf numFmtId="165" fontId="14" fillId="5" borderId="0" xfId="0" applyNumberFormat="1" applyFont="1" applyFill="1" applyAlignment="1" applyProtection="1">
      <alignment horizontal="center" vertical="top" wrapText="1"/>
      <protection hidden="1"/>
    </xf>
    <xf numFmtId="0" fontId="15" fillId="5" borderId="0" xfId="0" applyFont="1" applyFill="1" applyAlignment="1" applyProtection="1">
      <alignment horizontal="left" indent="3"/>
      <protection hidden="1"/>
    </xf>
    <xf numFmtId="0" fontId="20" fillId="5" borderId="0" xfId="0" applyFont="1" applyFill="1" applyAlignment="1" applyProtection="1">
      <alignment horizontal="center" vertical="top" wrapText="1"/>
      <protection hidden="1"/>
    </xf>
    <xf numFmtId="0" fontId="18" fillId="3" borderId="0" xfId="0" applyFont="1" applyFill="1" applyAlignment="1" applyProtection="1">
      <alignment horizontal="left"/>
      <protection hidden="1"/>
    </xf>
    <xf numFmtId="0" fontId="18" fillId="3" borderId="0" xfId="0" applyFont="1" applyFill="1" applyProtection="1">
      <protection hidden="1"/>
    </xf>
    <xf numFmtId="2" fontId="16" fillId="3" borderId="0" xfId="0" applyNumberFormat="1" applyFont="1" applyFill="1" applyAlignment="1" applyProtection="1">
      <alignment horizontal="center"/>
      <protection hidden="1"/>
    </xf>
    <xf numFmtId="0" fontId="14" fillId="3" borderId="0" xfId="0" applyFont="1" applyFill="1" applyAlignment="1" applyProtection="1">
      <alignment horizontal="center" vertical="center"/>
      <protection hidden="1"/>
    </xf>
    <xf numFmtId="0" fontId="18" fillId="3" borderId="0" xfId="0" applyFont="1" applyFill="1" applyAlignment="1" applyProtection="1">
      <alignment horizontal="left" vertical="center"/>
      <protection hidden="1"/>
    </xf>
    <xf numFmtId="0" fontId="18" fillId="3" borderId="0" xfId="0" applyFont="1" applyFill="1" applyAlignment="1" applyProtection="1">
      <alignment horizontal="left" vertical="center" indent="5"/>
      <protection hidden="1"/>
    </xf>
    <xf numFmtId="0" fontId="14" fillId="3" borderId="0" xfId="0" applyFont="1" applyFill="1" applyAlignment="1" applyProtection="1">
      <alignment horizontal="center"/>
      <protection hidden="1"/>
    </xf>
    <xf numFmtId="165" fontId="14" fillId="3" borderId="0" xfId="0" applyNumberFormat="1" applyFont="1" applyFill="1" applyAlignment="1" applyProtection="1">
      <alignment horizontal="center" vertical="center"/>
      <protection hidden="1"/>
    </xf>
    <xf numFmtId="0" fontId="15" fillId="3" borderId="0" xfId="0" applyFont="1" applyFill="1" applyAlignment="1" applyProtection="1">
      <alignment horizontal="left" indent="3"/>
      <protection hidden="1"/>
    </xf>
    <xf numFmtId="0" fontId="14" fillId="3" borderId="0" xfId="0" applyFont="1" applyFill="1" applyProtection="1">
      <protection hidden="1"/>
    </xf>
    <xf numFmtId="0" fontId="16" fillId="5" borderId="0" xfId="0" applyFont="1" applyFill="1" applyProtection="1">
      <protection hidden="1"/>
    </xf>
    <xf numFmtId="165" fontId="14" fillId="5" borderId="0" xfId="0" applyNumberFormat="1" applyFont="1" applyFill="1" applyAlignment="1" applyProtection="1">
      <alignment horizontal="center" vertical="center"/>
      <protection hidden="1"/>
    </xf>
    <xf numFmtId="0" fontId="14" fillId="5" borderId="0" xfId="0" applyFont="1" applyFill="1" applyAlignment="1" applyProtection="1">
      <alignment horizontal="center" vertical="center"/>
      <protection hidden="1"/>
    </xf>
    <xf numFmtId="0" fontId="16" fillId="3" borderId="0" xfId="0" applyFont="1" applyFill="1" applyAlignment="1" applyProtection="1">
      <alignment horizontal="left" indent="4"/>
      <protection hidden="1"/>
    </xf>
    <xf numFmtId="0" fontId="12" fillId="3" borderId="0" xfId="0" applyFont="1" applyFill="1" applyAlignment="1" applyProtection="1">
      <alignment vertical="top"/>
      <protection hidden="1"/>
    </xf>
    <xf numFmtId="0" fontId="15" fillId="3" borderId="0" xfId="0" applyFont="1" applyFill="1" applyAlignment="1" applyProtection="1">
      <alignment vertical="top"/>
      <protection hidden="1"/>
    </xf>
    <xf numFmtId="0" fontId="16" fillId="3" borderId="0" xfId="0" applyFont="1" applyFill="1" applyAlignment="1" applyProtection="1">
      <alignment horizontal="center"/>
      <protection hidden="1"/>
    </xf>
    <xf numFmtId="0" fontId="34" fillId="3" borderId="0" xfId="0" applyFont="1" applyFill="1" applyAlignment="1" applyProtection="1">
      <alignment vertical="center" wrapText="1"/>
      <protection hidden="1"/>
    </xf>
    <xf numFmtId="166" fontId="16" fillId="5" borderId="0" xfId="0" applyNumberFormat="1" applyFont="1" applyFill="1" applyAlignment="1" applyProtection="1">
      <alignment horizontal="center"/>
      <protection hidden="1"/>
    </xf>
    <xf numFmtId="0" fontId="16" fillId="5" borderId="0" xfId="0" applyFont="1" applyFill="1" applyAlignment="1" applyProtection="1">
      <alignment horizontal="center"/>
      <protection hidden="1"/>
    </xf>
    <xf numFmtId="0" fontId="14" fillId="5" borderId="0" xfId="0" applyFont="1" applyFill="1" applyAlignment="1" applyProtection="1">
      <alignment horizontal="center" vertical="top" wrapText="1"/>
      <protection hidden="1"/>
    </xf>
    <xf numFmtId="166" fontId="16" fillId="3" borderId="0" xfId="0" applyNumberFormat="1" applyFont="1" applyFill="1" applyAlignment="1" applyProtection="1">
      <alignment horizontal="center"/>
      <protection hidden="1"/>
    </xf>
    <xf numFmtId="0" fontId="15" fillId="3" borderId="0" xfId="0" applyFont="1" applyFill="1" applyAlignment="1" applyProtection="1">
      <alignment vertical="top" wrapText="1"/>
      <protection hidden="1"/>
    </xf>
    <xf numFmtId="0" fontId="22" fillId="3" borderId="0" xfId="0" applyFont="1" applyFill="1" applyAlignment="1" applyProtection="1">
      <alignment horizontal="left" vertical="center"/>
      <protection hidden="1"/>
    </xf>
    <xf numFmtId="0" fontId="12" fillId="3" borderId="0" xfId="0" applyFont="1" applyFill="1" applyAlignment="1" applyProtection="1">
      <alignment horizontal="left" vertical="center"/>
      <protection hidden="1"/>
    </xf>
    <xf numFmtId="0" fontId="15" fillId="3" borderId="27" xfId="0" applyFont="1" applyFill="1" applyBorder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0" fillId="0" borderId="0" xfId="0" applyProtection="1">
      <protection hidden="1"/>
    </xf>
    <xf numFmtId="0" fontId="17" fillId="3" borderId="0" xfId="0" applyFont="1" applyFill="1" applyProtection="1">
      <protection hidden="1"/>
    </xf>
    <xf numFmtId="0" fontId="0" fillId="3" borderId="0" xfId="0" applyFill="1" applyProtection="1">
      <protection locked="0" hidden="1"/>
    </xf>
    <xf numFmtId="0" fontId="3" fillId="3" borderId="0" xfId="0" applyFont="1" applyFill="1" applyProtection="1">
      <protection hidden="1"/>
    </xf>
    <xf numFmtId="0" fontId="35" fillId="3" borderId="0" xfId="0" applyFont="1" applyFill="1" applyProtection="1">
      <protection hidden="1"/>
    </xf>
    <xf numFmtId="0" fontId="36" fillId="3" borderId="0" xfId="0" applyFont="1" applyFill="1" applyProtection="1">
      <protection hidden="1"/>
    </xf>
    <xf numFmtId="0" fontId="37" fillId="3" borderId="0" xfId="0" applyFont="1" applyFill="1" applyProtection="1">
      <protection hidden="1"/>
    </xf>
    <xf numFmtId="0" fontId="35" fillId="3" borderId="0" xfId="0" applyFont="1" applyFill="1" applyAlignment="1" applyProtection="1">
      <alignment wrapText="1"/>
      <protection hidden="1"/>
    </xf>
    <xf numFmtId="0" fontId="0" fillId="5" borderId="30" xfId="0" applyFill="1" applyBorder="1" applyAlignment="1" applyProtection="1">
      <alignment vertical="center"/>
      <protection hidden="1"/>
    </xf>
    <xf numFmtId="0" fontId="0" fillId="5" borderId="31" xfId="0" applyFill="1" applyBorder="1" applyAlignment="1" applyProtection="1">
      <alignment vertical="center"/>
      <protection hidden="1"/>
    </xf>
    <xf numFmtId="0" fontId="0" fillId="5" borderId="32" xfId="0" applyFill="1" applyBorder="1" applyAlignment="1" applyProtection="1">
      <alignment vertical="center"/>
      <protection hidden="1"/>
    </xf>
    <xf numFmtId="0" fontId="17" fillId="2" borderId="33" xfId="0" applyFont="1" applyFill="1" applyBorder="1" applyAlignment="1" applyProtection="1">
      <alignment vertical="center"/>
      <protection hidden="1"/>
    </xf>
    <xf numFmtId="0" fontId="17" fillId="2" borderId="0" xfId="0" applyFont="1" applyFill="1" applyAlignment="1" applyProtection="1">
      <alignment vertical="center"/>
      <protection hidden="1"/>
    </xf>
    <xf numFmtId="0" fontId="17" fillId="2" borderId="34" xfId="0" applyFont="1" applyFill="1" applyBorder="1" applyAlignment="1" applyProtection="1">
      <alignment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0" fillId="3" borderId="33" xfId="0" applyFill="1" applyBorder="1" applyAlignment="1" applyProtection="1">
      <alignment vertical="center"/>
      <protection hidden="1"/>
    </xf>
    <xf numFmtId="0" fontId="5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0" fillId="3" borderId="34" xfId="0" applyFill="1" applyBorder="1" applyAlignment="1" applyProtection="1">
      <alignment vertical="center"/>
      <protection hidden="1"/>
    </xf>
    <xf numFmtId="0" fontId="0" fillId="3" borderId="35" xfId="0" applyFill="1" applyBorder="1" applyAlignment="1" applyProtection="1">
      <alignment vertical="center"/>
      <protection hidden="1"/>
    </xf>
    <xf numFmtId="0" fontId="0" fillId="3" borderId="36" xfId="0" applyFill="1" applyBorder="1" applyAlignment="1" applyProtection="1">
      <alignment horizontal="center" vertical="center"/>
      <protection hidden="1"/>
    </xf>
    <xf numFmtId="0" fontId="0" fillId="3" borderId="36" xfId="0" applyFill="1" applyBorder="1" applyAlignment="1" applyProtection="1">
      <alignment vertical="center"/>
      <protection hidden="1"/>
    </xf>
    <xf numFmtId="0" fontId="0" fillId="3" borderId="37" xfId="0" applyFill="1" applyBorder="1" applyAlignment="1" applyProtection="1">
      <alignment vertical="center"/>
      <protection hidden="1"/>
    </xf>
    <xf numFmtId="0" fontId="0" fillId="5" borderId="35" xfId="0" applyFill="1" applyBorder="1" applyAlignment="1" applyProtection="1">
      <alignment vertical="center"/>
      <protection hidden="1"/>
    </xf>
    <xf numFmtId="0" fontId="0" fillId="5" borderId="37" xfId="0" applyFill="1" applyBorder="1" applyAlignment="1" applyProtection="1">
      <alignment vertical="center"/>
      <protection hidden="1"/>
    </xf>
    <xf numFmtId="0" fontId="4" fillId="2" borderId="33" xfId="0" applyFont="1" applyFill="1" applyBorder="1" applyAlignment="1" applyProtection="1">
      <alignment vertical="center"/>
      <protection hidden="1"/>
    </xf>
    <xf numFmtId="0" fontId="4" fillId="2" borderId="34" xfId="0" applyFont="1" applyFill="1" applyBorder="1" applyAlignment="1" applyProtection="1">
      <alignment vertical="center"/>
      <protection hidden="1"/>
    </xf>
    <xf numFmtId="0" fontId="0" fillId="5" borderId="30" xfId="0" applyFill="1" applyBorder="1" applyAlignment="1" applyProtection="1">
      <alignment horizontal="left" vertical="center"/>
      <protection hidden="1"/>
    </xf>
    <xf numFmtId="0" fontId="0" fillId="5" borderId="31" xfId="0" applyFill="1" applyBorder="1" applyAlignment="1" applyProtection="1">
      <alignment horizontal="left" vertical="center"/>
      <protection hidden="1"/>
    </xf>
    <xf numFmtId="0" fontId="0" fillId="5" borderId="32" xfId="0" applyFill="1" applyBorder="1" applyAlignment="1" applyProtection="1">
      <alignment horizontal="left" vertical="center"/>
      <protection hidden="1"/>
    </xf>
    <xf numFmtId="0" fontId="0" fillId="3" borderId="33" xfId="0" applyFill="1" applyBorder="1" applyAlignment="1" applyProtection="1">
      <alignment horizontal="left" vertical="center"/>
      <protection hidden="1"/>
    </xf>
    <xf numFmtId="0" fontId="0" fillId="3" borderId="0" xfId="0" applyFill="1" applyAlignment="1" applyProtection="1">
      <alignment horizontal="left" vertical="center"/>
      <protection hidden="1"/>
    </xf>
    <xf numFmtId="0" fontId="0" fillId="3" borderId="34" xfId="0" applyFill="1" applyBorder="1" applyAlignment="1" applyProtection="1">
      <alignment horizontal="left" vertical="center"/>
      <protection hidden="1"/>
    </xf>
    <xf numFmtId="0" fontId="5" fillId="3" borderId="0" xfId="0" applyFont="1" applyFill="1" applyAlignment="1" applyProtection="1">
      <alignment horizontal="left" vertical="center"/>
      <protection hidden="1"/>
    </xf>
    <xf numFmtId="0" fontId="17" fillId="2" borderId="33" xfId="0" applyFont="1" applyFill="1" applyBorder="1" applyAlignment="1" applyProtection="1">
      <alignment horizontal="left" vertical="center"/>
      <protection hidden="1"/>
    </xf>
    <xf numFmtId="0" fontId="4" fillId="2" borderId="0" xfId="0" applyFont="1" applyFill="1" applyAlignment="1" applyProtection="1">
      <alignment horizontal="left" vertical="center"/>
      <protection hidden="1"/>
    </xf>
    <xf numFmtId="0" fontId="17" fillId="2" borderId="34" xfId="0" applyFont="1" applyFill="1" applyBorder="1" applyAlignment="1" applyProtection="1">
      <alignment horizontal="left" vertical="center"/>
      <protection hidden="1"/>
    </xf>
    <xf numFmtId="0" fontId="17" fillId="2" borderId="35" xfId="0" applyFont="1" applyFill="1" applyBorder="1" applyAlignment="1" applyProtection="1">
      <alignment horizontal="left" vertical="center"/>
      <protection hidden="1"/>
    </xf>
    <xf numFmtId="0" fontId="17" fillId="2" borderId="36" xfId="0" applyFont="1" applyFill="1" applyBorder="1" applyAlignment="1" applyProtection="1">
      <alignment horizontal="left" vertical="center"/>
      <protection hidden="1"/>
    </xf>
    <xf numFmtId="0" fontId="17" fillId="2" borderId="37" xfId="0" applyFont="1" applyFill="1" applyBorder="1" applyAlignment="1" applyProtection="1">
      <alignment horizontal="left" vertical="center"/>
      <protection hidden="1"/>
    </xf>
    <xf numFmtId="0" fontId="0" fillId="5" borderId="35" xfId="0" applyFill="1" applyBorder="1" applyAlignment="1" applyProtection="1">
      <alignment horizontal="left" vertical="center"/>
      <protection hidden="1"/>
    </xf>
    <xf numFmtId="0" fontId="0" fillId="5" borderId="37" xfId="0" applyFill="1" applyBorder="1" applyAlignment="1" applyProtection="1">
      <alignment horizontal="left" vertical="center"/>
      <protection hidden="1"/>
    </xf>
    <xf numFmtId="0" fontId="0" fillId="5" borderId="30" xfId="0" applyFill="1" applyBorder="1" applyProtection="1">
      <protection hidden="1"/>
    </xf>
    <xf numFmtId="0" fontId="0" fillId="5" borderId="31" xfId="0" applyFill="1" applyBorder="1" applyProtection="1">
      <protection hidden="1"/>
    </xf>
    <xf numFmtId="0" fontId="0" fillId="5" borderId="32" xfId="0" applyFill="1" applyBorder="1" applyProtection="1">
      <protection hidden="1"/>
    </xf>
    <xf numFmtId="0" fontId="0" fillId="5" borderId="33" xfId="0" applyFill="1" applyBorder="1" applyProtection="1">
      <protection hidden="1"/>
    </xf>
    <xf numFmtId="0" fontId="4" fillId="5" borderId="0" xfId="0" applyFont="1" applyFill="1" applyProtection="1">
      <protection hidden="1"/>
    </xf>
    <xf numFmtId="0" fontId="0" fillId="5" borderId="34" xfId="0" applyFill="1" applyBorder="1" applyProtection="1">
      <protection hidden="1"/>
    </xf>
    <xf numFmtId="0" fontId="5" fillId="3" borderId="33" xfId="0" applyFont="1" applyFill="1" applyBorder="1" applyProtection="1">
      <protection hidden="1"/>
    </xf>
    <xf numFmtId="0" fontId="5" fillId="3" borderId="35" xfId="0" applyFont="1" applyFill="1" applyBorder="1" applyProtection="1">
      <protection hidden="1"/>
    </xf>
    <xf numFmtId="0" fontId="5" fillId="3" borderId="36" xfId="0" applyFont="1" applyFill="1" applyBorder="1" applyProtection="1">
      <protection hidden="1"/>
    </xf>
    <xf numFmtId="0" fontId="5" fillId="3" borderId="37" xfId="0" applyFont="1" applyFill="1" applyBorder="1" applyProtection="1">
      <protection hidden="1"/>
    </xf>
    <xf numFmtId="0" fontId="5" fillId="3" borderId="34" xfId="0" applyFont="1" applyFill="1" applyBorder="1" applyProtection="1">
      <protection hidden="1"/>
    </xf>
    <xf numFmtId="0" fontId="0" fillId="5" borderId="35" xfId="0" applyFill="1" applyBorder="1" applyProtection="1">
      <protection hidden="1"/>
    </xf>
    <xf numFmtId="0" fontId="0" fillId="5" borderId="36" xfId="0" applyFill="1" applyBorder="1" applyProtection="1">
      <protection hidden="1"/>
    </xf>
    <xf numFmtId="0" fontId="0" fillId="5" borderId="37" xfId="0" applyFill="1" applyBorder="1" applyProtection="1">
      <protection hidden="1"/>
    </xf>
    <xf numFmtId="0" fontId="15" fillId="3" borderId="0" xfId="0" applyFont="1" applyFill="1" applyAlignment="1" applyProtection="1">
      <alignment horizontal="left" vertical="top" wrapText="1"/>
      <protection hidden="1"/>
    </xf>
    <xf numFmtId="0" fontId="40" fillId="3" borderId="0" xfId="0" applyFont="1" applyFill="1" applyProtection="1">
      <protection hidden="1"/>
    </xf>
    <xf numFmtId="0" fontId="41" fillId="3" borderId="0" xfId="0" applyFont="1" applyFill="1" applyProtection="1">
      <protection hidden="1"/>
    </xf>
    <xf numFmtId="0" fontId="35" fillId="3" borderId="0" xfId="0" applyFont="1" applyFill="1" applyAlignment="1" applyProtection="1">
      <alignment horizontal="center"/>
      <protection hidden="1"/>
    </xf>
    <xf numFmtId="0" fontId="35" fillId="3" borderId="0" xfId="0" applyFont="1" applyFill="1" applyAlignment="1" applyProtection="1">
      <alignment horizontal="center" vertical="center"/>
      <protection locked="0" hidden="1"/>
    </xf>
    <xf numFmtId="0" fontId="35" fillId="3" borderId="0" xfId="0" applyFont="1" applyFill="1" applyAlignment="1" applyProtection="1">
      <alignment horizontal="center" vertical="center"/>
      <protection hidden="1"/>
    </xf>
    <xf numFmtId="164" fontId="35" fillId="3" borderId="0" xfId="1" applyNumberFormat="1" applyFont="1" applyFill="1" applyBorder="1" applyAlignment="1" applyProtection="1">
      <alignment horizontal="center"/>
      <protection hidden="1"/>
    </xf>
    <xf numFmtId="0" fontId="37" fillId="3" borderId="0" xfId="0" applyFont="1" applyFill="1" applyAlignment="1" applyProtection="1">
      <alignment horizontal="center"/>
      <protection hidden="1"/>
    </xf>
    <xf numFmtId="2" fontId="35" fillId="3" borderId="0" xfId="0" applyNumberFormat="1" applyFont="1" applyFill="1" applyAlignment="1" applyProtection="1">
      <alignment horizontal="center" vertical="center"/>
      <protection hidden="1"/>
    </xf>
    <xf numFmtId="4" fontId="35" fillId="3" borderId="0" xfId="0" applyNumberFormat="1" applyFont="1" applyFill="1" applyAlignment="1" applyProtection="1">
      <alignment horizontal="center" vertical="center"/>
      <protection hidden="1"/>
    </xf>
    <xf numFmtId="0" fontId="37" fillId="3" borderId="0" xfId="0" applyFont="1" applyFill="1" applyAlignment="1" applyProtection="1">
      <alignment horizontal="center" vertical="center"/>
      <protection hidden="1"/>
    </xf>
    <xf numFmtId="0" fontId="43" fillId="3" borderId="0" xfId="0" applyFont="1" applyFill="1" applyAlignment="1" applyProtection="1">
      <alignment horizontal="center" vertical="center"/>
      <protection hidden="1"/>
    </xf>
    <xf numFmtId="0" fontId="37" fillId="3" borderId="0" xfId="0" applyFont="1" applyFill="1" applyAlignment="1" applyProtection="1">
      <alignment vertical="center" wrapText="1"/>
      <protection hidden="1"/>
    </xf>
    <xf numFmtId="0" fontId="35" fillId="3" borderId="0" xfId="0" applyFont="1" applyFill="1" applyAlignment="1" applyProtection="1">
      <alignment horizontal="center" wrapText="1"/>
      <protection hidden="1"/>
    </xf>
    <xf numFmtId="0" fontId="35" fillId="0" borderId="0" xfId="0" applyFont="1" applyProtection="1">
      <protection hidden="1"/>
    </xf>
    <xf numFmtId="0" fontId="9" fillId="3" borderId="0" xfId="0" applyFont="1" applyFill="1" applyAlignment="1" applyProtection="1">
      <alignment horizontal="right" vertical="center" textRotation="90"/>
      <protection hidden="1"/>
    </xf>
    <xf numFmtId="0" fontId="5" fillId="3" borderId="0" xfId="0" applyFont="1" applyFill="1" applyAlignment="1" applyProtection="1">
      <alignment horizontal="left" vertical="top" wrapText="1"/>
      <protection hidden="1"/>
    </xf>
    <xf numFmtId="0" fontId="9" fillId="3" borderId="34" xfId="0" applyFont="1" applyFill="1" applyBorder="1" applyAlignment="1" applyProtection="1">
      <alignment horizontal="right" vertical="center" textRotation="90"/>
      <protection hidden="1"/>
    </xf>
    <xf numFmtId="0" fontId="17" fillId="5" borderId="36" xfId="0" applyFont="1" applyFill="1" applyBorder="1" applyAlignment="1" applyProtection="1">
      <alignment horizontal="center" vertical="center"/>
      <protection hidden="1"/>
    </xf>
    <xf numFmtId="0" fontId="2" fillId="3" borderId="0" xfId="0" applyFont="1" applyFill="1" applyAlignment="1" applyProtection="1">
      <alignment horizontal="left"/>
      <protection hidden="1"/>
    </xf>
    <xf numFmtId="0" fontId="1" fillId="3" borderId="0" xfId="0" applyFont="1" applyFill="1" applyAlignment="1" applyProtection="1">
      <alignment horizontal="left"/>
      <protection hidden="1"/>
    </xf>
    <xf numFmtId="0" fontId="4" fillId="3" borderId="0" xfId="0" applyFont="1" applyFill="1" applyAlignment="1" applyProtection="1">
      <alignment horizontal="left" vertical="center"/>
      <protection hidden="1"/>
    </xf>
    <xf numFmtId="0" fontId="5" fillId="3" borderId="0" xfId="0" applyFont="1" applyFill="1" applyAlignment="1" applyProtection="1">
      <alignment horizontal="center" vertical="top" textRotation="90"/>
      <protection hidden="1"/>
    </xf>
    <xf numFmtId="0" fontId="5" fillId="3" borderId="0" xfId="0" applyFont="1" applyFill="1" applyAlignment="1" applyProtection="1">
      <alignment horizontal="center" vertical="center" textRotation="90"/>
      <protection hidden="1"/>
    </xf>
    <xf numFmtId="0" fontId="22" fillId="3" borderId="28" xfId="0" applyFont="1" applyFill="1" applyBorder="1" applyAlignment="1" applyProtection="1">
      <alignment horizontal="left" vertical="center"/>
      <protection hidden="1"/>
    </xf>
    <xf numFmtId="0" fontId="15" fillId="3" borderId="0" xfId="0" applyFont="1" applyFill="1" applyAlignment="1" applyProtection="1">
      <alignment horizontal="left" vertical="top" wrapText="1"/>
      <protection hidden="1"/>
    </xf>
    <xf numFmtId="0" fontId="34" fillId="3" borderId="0" xfId="0" applyFont="1" applyFill="1" applyAlignment="1" applyProtection="1">
      <alignment horizontal="left" vertical="top" wrapText="1"/>
      <protection hidden="1"/>
    </xf>
    <xf numFmtId="0" fontId="23" fillId="3" borderId="11" xfId="0" applyFont="1" applyFill="1" applyBorder="1" applyAlignment="1" applyProtection="1">
      <alignment horizontal="left"/>
      <protection hidden="1"/>
    </xf>
    <xf numFmtId="0" fontId="22" fillId="3" borderId="29" xfId="0" applyFont="1" applyFill="1" applyBorder="1" applyAlignment="1" applyProtection="1">
      <alignment horizontal="left" vertical="center"/>
      <protection hidden="1"/>
    </xf>
    <xf numFmtId="0" fontId="15" fillId="3" borderId="27" xfId="0" applyFont="1" applyFill="1" applyBorder="1" applyAlignment="1" applyProtection="1">
      <alignment horizontal="center"/>
      <protection hidden="1"/>
    </xf>
    <xf numFmtId="0" fontId="16" fillId="3" borderId="0" xfId="0" applyFont="1" applyFill="1" applyAlignment="1" applyProtection="1">
      <alignment horizontal="center"/>
      <protection hidden="1"/>
    </xf>
    <xf numFmtId="167" fontId="16" fillId="5" borderId="0" xfId="0" applyNumberFormat="1" applyFont="1" applyFill="1" applyAlignment="1" applyProtection="1">
      <alignment horizontal="center"/>
      <protection hidden="1"/>
    </xf>
    <xf numFmtId="0" fontId="19" fillId="3" borderId="0" xfId="0" applyFont="1" applyFill="1" applyAlignment="1" applyProtection="1">
      <alignment horizontal="center" wrapText="1"/>
      <protection hidden="1"/>
    </xf>
    <xf numFmtId="0" fontId="15" fillId="3" borderId="10" xfId="0" applyFont="1" applyFill="1" applyBorder="1" applyAlignment="1" applyProtection="1">
      <alignment horizontal="center"/>
      <protection hidden="1"/>
    </xf>
    <xf numFmtId="0" fontId="23" fillId="3" borderId="10" xfId="0" applyFont="1" applyFill="1" applyBorder="1" applyAlignment="1" applyProtection="1">
      <alignment horizontal="left"/>
      <protection hidden="1"/>
    </xf>
    <xf numFmtId="167" fontId="16" fillId="3" borderId="0" xfId="0" applyNumberFormat="1" applyFont="1" applyFill="1" applyAlignment="1" applyProtection="1">
      <alignment horizontal="center"/>
      <protection hidden="1"/>
    </xf>
    <xf numFmtId="0" fontId="37" fillId="3" borderId="0" xfId="0" applyFont="1" applyFill="1" applyAlignment="1" applyProtection="1">
      <alignment horizontal="left"/>
      <protection hidden="1"/>
    </xf>
    <xf numFmtId="0" fontId="37" fillId="3" borderId="0" xfId="0" applyFont="1" applyFill="1" applyAlignment="1" applyProtection="1">
      <alignment horizontal="left" vertical="center"/>
      <protection hidden="1"/>
    </xf>
    <xf numFmtId="0" fontId="5" fillId="3" borderId="0" xfId="0" applyFont="1" applyFill="1" applyAlignment="1" applyProtection="1">
      <alignment horizontal="left"/>
      <protection hidden="1"/>
    </xf>
    <xf numFmtId="0" fontId="7" fillId="3" borderId="0" xfId="0" applyFont="1" applyFill="1" applyAlignment="1" applyProtection="1">
      <alignment horizontal="center"/>
      <protection hidden="1"/>
    </xf>
    <xf numFmtId="0" fontId="35" fillId="3" borderId="0" xfId="0" applyFont="1" applyFill="1" applyAlignment="1" applyProtection="1">
      <alignment horizontal="center"/>
      <protection locked="0" hidden="1"/>
    </xf>
    <xf numFmtId="0" fontId="37" fillId="3" borderId="0" xfId="0" applyFont="1" applyFill="1" applyAlignment="1" applyProtection="1">
      <alignment horizontal="center"/>
      <protection hidden="1"/>
    </xf>
    <xf numFmtId="0" fontId="43" fillId="3" borderId="0" xfId="0" applyFont="1" applyFill="1" applyAlignment="1" applyProtection="1">
      <alignment horizontal="center" vertical="center"/>
      <protection hidden="1"/>
    </xf>
    <xf numFmtId="0" fontId="43" fillId="3" borderId="0" xfId="0" applyFont="1" applyFill="1" applyAlignment="1" applyProtection="1">
      <alignment horizontal="center" vertical="center" wrapText="1"/>
      <protection hidden="1"/>
    </xf>
    <xf numFmtId="0" fontId="37" fillId="3" borderId="0" xfId="0" applyFont="1" applyFill="1" applyAlignment="1" applyProtection="1">
      <alignment horizontal="center" wrapText="1"/>
      <protection hidden="1"/>
    </xf>
    <xf numFmtId="0" fontId="35" fillId="3" borderId="0" xfId="0" applyFont="1" applyFill="1" applyAlignment="1" applyProtection="1">
      <alignment horizontal="center"/>
      <protection hidden="1"/>
    </xf>
    <xf numFmtId="4" fontId="35" fillId="3" borderId="0" xfId="0" applyNumberFormat="1" applyFont="1" applyFill="1" applyAlignment="1" applyProtection="1">
      <alignment horizontal="center"/>
      <protection hidden="1"/>
    </xf>
    <xf numFmtId="3" fontId="35" fillId="3" borderId="0" xfId="0" applyNumberFormat="1" applyFont="1" applyFill="1" applyAlignment="1" applyProtection="1">
      <alignment horizontal="center"/>
      <protection hidden="1"/>
    </xf>
    <xf numFmtId="0" fontId="21" fillId="5" borderId="13" xfId="0" applyFont="1" applyFill="1" applyBorder="1" applyAlignment="1" applyProtection="1">
      <alignment horizontal="center" vertical="center" wrapText="1"/>
      <protection locked="0" hidden="1"/>
    </xf>
    <xf numFmtId="0" fontId="21" fillId="5" borderId="15" xfId="0" applyFont="1" applyFill="1" applyBorder="1" applyAlignment="1" applyProtection="1">
      <alignment horizontal="center" vertical="center" wrapText="1"/>
      <protection locked="0" hidden="1"/>
    </xf>
    <xf numFmtId="0" fontId="21" fillId="5" borderId="14" xfId="0" applyFont="1" applyFill="1" applyBorder="1" applyAlignment="1" applyProtection="1">
      <alignment horizontal="center" vertical="center" wrapText="1"/>
      <protection locked="0" hidden="1"/>
    </xf>
    <xf numFmtId="0" fontId="23" fillId="3" borderId="0" xfId="0" applyFont="1" applyFill="1" applyAlignment="1" applyProtection="1">
      <alignment horizontal="left" vertical="top" wrapText="1"/>
      <protection hidden="1"/>
    </xf>
    <xf numFmtId="0" fontId="0" fillId="5" borderId="0" xfId="0" applyFill="1" applyAlignment="1" applyProtection="1">
      <alignment horizontal="center" vertical="center"/>
      <protection hidden="1"/>
    </xf>
    <xf numFmtId="4" fontId="3" fillId="5" borderId="13" xfId="0" applyNumberFormat="1" applyFont="1" applyFill="1" applyBorder="1" applyAlignment="1" applyProtection="1">
      <alignment horizontal="center" vertical="center"/>
      <protection locked="0" hidden="1"/>
    </xf>
    <xf numFmtId="4" fontId="3" fillId="5" borderId="14" xfId="0" applyNumberFormat="1" applyFont="1" applyFill="1" applyBorder="1" applyAlignment="1" applyProtection="1">
      <alignment horizontal="center" vertical="center"/>
      <protection locked="0" hidden="1"/>
    </xf>
    <xf numFmtId="0" fontId="38" fillId="5" borderId="0" xfId="0" applyFont="1" applyFill="1" applyAlignment="1" applyProtection="1">
      <alignment horizontal="left"/>
      <protection hidden="1"/>
    </xf>
    <xf numFmtId="0" fontId="37" fillId="3" borderId="0" xfId="0" applyFont="1" applyFill="1" applyAlignment="1" applyProtection="1">
      <alignment horizontal="center" vertical="center" wrapText="1"/>
      <protection hidden="1"/>
    </xf>
    <xf numFmtId="0" fontId="4" fillId="3" borderId="0" xfId="0" applyFont="1" applyFill="1" applyAlignment="1" applyProtection="1">
      <alignment horizontal="center"/>
      <protection hidden="1"/>
    </xf>
    <xf numFmtId="0" fontId="21" fillId="5" borderId="2" xfId="0" applyFont="1" applyFill="1" applyBorder="1" applyAlignment="1" applyProtection="1">
      <alignment horizontal="center" vertical="center" wrapText="1"/>
      <protection locked="0" hidden="1"/>
    </xf>
    <xf numFmtId="0" fontId="21" fillId="5" borderId="3" xfId="0" applyFont="1" applyFill="1" applyBorder="1" applyAlignment="1" applyProtection="1">
      <alignment horizontal="center" vertical="center" wrapText="1"/>
      <protection locked="0" hidden="1"/>
    </xf>
    <xf numFmtId="0" fontId="21" fillId="5" borderId="4" xfId="0" applyFont="1" applyFill="1" applyBorder="1" applyAlignment="1" applyProtection="1">
      <alignment horizontal="center" vertical="center" wrapText="1"/>
      <protection locked="0" hidden="1"/>
    </xf>
    <xf numFmtId="0" fontId="21" fillId="5" borderId="5" xfId="0" applyFont="1" applyFill="1" applyBorder="1" applyAlignment="1" applyProtection="1">
      <alignment horizontal="center" vertical="center" wrapText="1"/>
      <protection locked="0" hidden="1"/>
    </xf>
    <xf numFmtId="0" fontId="21" fillId="5" borderId="0" xfId="0" applyFont="1" applyFill="1" applyAlignment="1" applyProtection="1">
      <alignment horizontal="center" vertical="center" wrapText="1"/>
      <protection locked="0" hidden="1"/>
    </xf>
    <xf numFmtId="0" fontId="21" fillId="5" borderId="6" xfId="0" applyFont="1" applyFill="1" applyBorder="1" applyAlignment="1" applyProtection="1">
      <alignment horizontal="center" vertical="center" wrapText="1"/>
      <protection locked="0" hidden="1"/>
    </xf>
    <xf numFmtId="0" fontId="21" fillId="5" borderId="7" xfId="0" applyFont="1" applyFill="1" applyBorder="1" applyAlignment="1" applyProtection="1">
      <alignment horizontal="center" vertical="center" wrapText="1"/>
      <protection locked="0" hidden="1"/>
    </xf>
    <xf numFmtId="0" fontId="21" fillId="5" borderId="8" xfId="0" applyFont="1" applyFill="1" applyBorder="1" applyAlignment="1" applyProtection="1">
      <alignment horizontal="center" vertical="center" wrapText="1"/>
      <protection locked="0" hidden="1"/>
    </xf>
    <xf numFmtId="0" fontId="21" fillId="5" borderId="9" xfId="0" applyFont="1" applyFill="1" applyBorder="1" applyAlignment="1" applyProtection="1">
      <alignment horizontal="center" vertical="center" wrapText="1"/>
      <protection locked="0" hidden="1"/>
    </xf>
    <xf numFmtId="0" fontId="29" fillId="3" borderId="0" xfId="0" applyFont="1" applyFill="1" applyAlignment="1">
      <alignment horizontal="left" vertical="center" wrapText="1"/>
    </xf>
    <xf numFmtId="0" fontId="26" fillId="3" borderId="0" xfId="0" applyFont="1" applyFill="1" applyAlignment="1">
      <alignment horizontal="left" vertical="top" wrapText="1"/>
    </xf>
    <xf numFmtId="0" fontId="32" fillId="3" borderId="0" xfId="0" applyFont="1" applyFill="1" applyAlignment="1">
      <alignment horizontal="left" vertical="top" wrapText="1"/>
    </xf>
    <xf numFmtId="0" fontId="33" fillId="3" borderId="0" xfId="0" applyFont="1" applyFill="1" applyAlignment="1">
      <alignment horizontal="left" vertical="top" wrapText="1"/>
    </xf>
    <xf numFmtId="0" fontId="28" fillId="3" borderId="0" xfId="0" applyFont="1" applyFill="1" applyAlignment="1" applyProtection="1">
      <alignment horizontal="left"/>
      <protection hidden="1"/>
    </xf>
    <xf numFmtId="0" fontId="4" fillId="3" borderId="0" xfId="0" applyFont="1" applyFill="1" applyAlignment="1">
      <alignment horizontal="center"/>
    </xf>
    <xf numFmtId="0" fontId="29" fillId="3" borderId="10" xfId="0" applyFont="1" applyFill="1" applyBorder="1" applyAlignment="1">
      <alignment horizontal="left" vertical="center" wrapText="1"/>
    </xf>
    <xf numFmtId="0" fontId="30" fillId="3" borderId="0" xfId="0" applyFont="1" applyFill="1" applyAlignment="1">
      <alignment horizontal="left" vertical="top" wrapText="1"/>
    </xf>
    <xf numFmtId="0" fontId="4" fillId="3" borderId="8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center"/>
    </xf>
    <xf numFmtId="3" fontId="3" fillId="5" borderId="12" xfId="0" applyNumberFormat="1" applyFont="1" applyFill="1" applyBorder="1" applyAlignment="1">
      <alignment horizontal="center"/>
    </xf>
    <xf numFmtId="4" fontId="3" fillId="5" borderId="12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4" fontId="3" fillId="5" borderId="0" xfId="0" applyNumberFormat="1" applyFont="1" applyFill="1" applyAlignment="1">
      <alignment horizontal="center"/>
    </xf>
    <xf numFmtId="3" fontId="25" fillId="3" borderId="10" xfId="0" applyNumberFormat="1" applyFont="1" applyFill="1" applyBorder="1" applyAlignment="1">
      <alignment horizontal="center"/>
    </xf>
    <xf numFmtId="4" fontId="25" fillId="3" borderId="0" xfId="0" applyNumberFormat="1" applyFont="1" applyFill="1" applyAlignment="1">
      <alignment horizontal="center"/>
    </xf>
    <xf numFmtId="0" fontId="0" fillId="6" borderId="0" xfId="0" applyFill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11" fillId="3" borderId="0" xfId="0" applyFont="1" applyFill="1" applyAlignment="1">
      <alignment horizontal="center" vertical="center"/>
    </xf>
    <xf numFmtId="4" fontId="25" fillId="3" borderId="10" xfId="0" applyNumberFormat="1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0" fontId="11" fillId="3" borderId="0" xfId="0" applyFont="1" applyFill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wrapText="1"/>
    </xf>
    <xf numFmtId="0" fontId="4" fillId="3" borderId="16" xfId="0" applyFont="1" applyFill="1" applyBorder="1" applyAlignment="1">
      <alignment horizont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/>
    </xf>
    <xf numFmtId="0" fontId="3" fillId="3" borderId="10" xfId="0" applyFont="1" applyFill="1" applyBorder="1" applyAlignment="1">
      <alignment horizontal="center"/>
    </xf>
  </cellXfs>
  <cellStyles count="2">
    <cellStyle name="Komma" xfId="1" builtinId="3"/>
    <cellStyle name="Standard" xfId="0" builtinId="0"/>
  </cellStyles>
  <dxfs count="10">
    <dxf>
      <font>
        <color rgb="FF183A68"/>
      </font>
    </dxf>
    <dxf>
      <font>
        <color rgb="FF00B050"/>
      </font>
    </dxf>
    <dxf>
      <font>
        <color rgb="FF183A68"/>
      </font>
    </dxf>
    <dxf>
      <font>
        <color theme="0" tint="-4.9989318521683403E-2"/>
      </font>
      <fill>
        <patternFill patternType="solid">
          <bgColor theme="0" tint="-4.9989318521683403E-2"/>
        </patternFill>
      </fill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</border>
    </dxf>
    <dxf>
      <font>
        <b val="0"/>
        <i/>
        <color rgb="FF183A68"/>
      </font>
      <fill>
        <patternFill patternType="none">
          <bgColor auto="1"/>
        </patternFill>
      </fill>
    </dxf>
    <dxf>
      <font>
        <b val="0"/>
        <i/>
        <color rgb="FF183A68"/>
      </font>
    </dxf>
    <dxf>
      <font>
        <color rgb="FF00B0F0"/>
      </font>
    </dxf>
    <dxf>
      <font>
        <color rgb="FF00B050"/>
      </font>
    </dxf>
    <dxf>
      <font>
        <color rgb="FFE20612"/>
      </font>
    </dxf>
    <dxf>
      <font>
        <color rgb="FF00B0F0"/>
      </font>
    </dxf>
  </dxfs>
  <tableStyles count="0" defaultTableStyle="TableStyleMedium2" defaultPivotStyle="PivotStyleLight16"/>
  <colors>
    <mruColors>
      <color rgb="FFE20612"/>
      <color rgb="FF183A68"/>
      <color rgb="FFFFD401"/>
      <color rgb="FF6D6D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ctrlProps/ctrlProp1.xml><?xml version="1.0" encoding="utf-8"?>
<formControlPr xmlns="http://schemas.microsoft.com/office/spreadsheetml/2009/9/main" objectType="Drop" dropLines="5" dropStyle="combo" dx="31" fmlaLink="$AA$9" fmlaRange="$AA$10:$AA$13" sel="1" val="0"/>
</file>

<file path=xl/ctrlProps/ctrlProp2.xml><?xml version="1.0" encoding="utf-8"?>
<formControlPr xmlns="http://schemas.microsoft.com/office/spreadsheetml/2009/9/main" objectType="Drop" dropLines="2" dropStyle="combo" dx="31" fmlaLink="$AB$9" fmlaRange="$AB$10:$AB$11" sel="1" val="0"/>
</file>

<file path=xl/ctrlProps/ctrlProp3.xml><?xml version="1.0" encoding="utf-8"?>
<formControlPr xmlns="http://schemas.microsoft.com/office/spreadsheetml/2009/9/main" objectType="Drop" dropLines="2" dropStyle="combo" dx="31" fmlaLink="$AC$9" fmlaRange="$AC$10:$AC$11" sel="2" val="0"/>
</file>

<file path=xl/ctrlProps/ctrlProp4.xml><?xml version="1.0" encoding="utf-8"?>
<formControlPr xmlns="http://schemas.microsoft.com/office/spreadsheetml/2009/9/main" objectType="Drop" dropLines="11" dropStyle="combo" dx="31" fmlaLink="$AD$9" fmlaRange="$AD$10:$AD$20" sel="10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Hilfe!A66"/><Relationship Id="rId2" Type="http://schemas.openxmlformats.org/officeDocument/2006/relationships/hyperlink" Target="#Hilfe!A36"/><Relationship Id="rId1" Type="http://schemas.openxmlformats.org/officeDocument/2006/relationships/image" Target="../media/image3.png"/><Relationship Id="rId4" Type="http://schemas.openxmlformats.org/officeDocument/2006/relationships/hyperlink" Target="#Hilfe!A6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Hilfe!A37"/><Relationship Id="rId2" Type="http://schemas.openxmlformats.org/officeDocument/2006/relationships/hyperlink" Target="#Hilfe!A7"/><Relationship Id="rId1" Type="http://schemas.openxmlformats.org/officeDocument/2006/relationships/hyperlink" Target="#'Einstellblatt Einspeiseanlage'!M7"/><Relationship Id="rId5" Type="http://schemas.openxmlformats.org/officeDocument/2006/relationships/image" Target="../media/image3.png"/><Relationship Id="rId4" Type="http://schemas.openxmlformats.org/officeDocument/2006/relationships/hyperlink" Target="#Hilfe!A67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218025</xdr:colOff>
      <xdr:row>0</xdr:row>
      <xdr:rowOff>219089</xdr:rowOff>
    </xdr:from>
    <xdr:to>
      <xdr:col>13</xdr:col>
      <xdr:colOff>7426</xdr:colOff>
      <xdr:row>1</xdr:row>
      <xdr:rowOff>187589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75F7883-99E9-31CB-DFAB-55ACD4A48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4675" y="219089"/>
          <a:ext cx="1519010" cy="540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9</xdr:row>
          <xdr:rowOff>9525</xdr:rowOff>
        </xdr:from>
        <xdr:to>
          <xdr:col>2</xdr:col>
          <xdr:colOff>1171575</xdr:colOff>
          <xdr:row>10</xdr:row>
          <xdr:rowOff>180975</xdr:rowOff>
        </xdr:to>
        <xdr:sp macro="" textlink="">
          <xdr:nvSpPr>
            <xdr:cNvPr id="1025" name="Drop Down 1" descr="Bitte auswählen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9</xdr:row>
          <xdr:rowOff>9525</xdr:rowOff>
        </xdr:from>
        <xdr:to>
          <xdr:col>4</xdr:col>
          <xdr:colOff>1171575</xdr:colOff>
          <xdr:row>10</xdr:row>
          <xdr:rowOff>180975</xdr:rowOff>
        </xdr:to>
        <xdr:sp macro="" textlink="">
          <xdr:nvSpPr>
            <xdr:cNvPr id="1026" name="Drop Down 2" descr="Ja, standardmäßig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9</xdr:row>
          <xdr:rowOff>9525</xdr:rowOff>
        </xdr:from>
        <xdr:to>
          <xdr:col>6</xdr:col>
          <xdr:colOff>1181100</xdr:colOff>
          <xdr:row>10</xdr:row>
          <xdr:rowOff>171450</xdr:rowOff>
        </xdr:to>
        <xdr:sp macro="" textlink="">
          <xdr:nvSpPr>
            <xdr:cNvPr id="1027" name="Drop Down 3" descr="Bitte auswählen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9</xdr:row>
          <xdr:rowOff>9525</xdr:rowOff>
        </xdr:from>
        <xdr:to>
          <xdr:col>9</xdr:col>
          <xdr:colOff>1323975</xdr:colOff>
          <xdr:row>10</xdr:row>
          <xdr:rowOff>171450</xdr:rowOff>
        </xdr:to>
        <xdr:sp macro="" textlink="">
          <xdr:nvSpPr>
            <xdr:cNvPr id="1028" name="Drop Down 4" descr="Bitte auswählen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11</xdr:col>
      <xdr:colOff>520705</xdr:colOff>
      <xdr:row>5</xdr:row>
      <xdr:rowOff>79667</xdr:rowOff>
    </xdr:from>
    <xdr:to>
      <xdr:col>11</xdr:col>
      <xdr:colOff>731987</xdr:colOff>
      <xdr:row>6</xdr:row>
      <xdr:rowOff>94099</xdr:rowOff>
    </xdr:to>
    <xdr:sp macro="" textlink="">
      <xdr:nvSpPr>
        <xdr:cNvPr id="2" name="Ellipse 1">
          <a:hlinkClick xmlns:r="http://schemas.openxmlformats.org/officeDocument/2006/relationships" r:id="rId2" tooltip="Trafo-Übersetzung"/>
          <a:extLst>
            <a:ext uri="{FF2B5EF4-FFF2-40B4-BE49-F238E27FC236}">
              <a16:creationId xmlns:a16="http://schemas.microsoft.com/office/drawing/2014/main" id="{887C738B-4D9E-8DC6-54EB-11C544212A3D}"/>
            </a:ext>
          </a:extLst>
        </xdr:cNvPr>
        <xdr:cNvSpPr/>
      </xdr:nvSpPr>
      <xdr:spPr>
        <a:xfrm>
          <a:off x="8244614" y="1159167"/>
          <a:ext cx="211282" cy="199159"/>
        </a:xfrm>
        <a:prstGeom prst="ellipse">
          <a:avLst/>
        </a:prstGeom>
        <a:solidFill>
          <a:srgbClr val="183A68"/>
        </a:solidFill>
        <a:ln>
          <a:solidFill>
            <a:srgbClr val="E2061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DE" sz="1200" b="1">
              <a:solidFill>
                <a:srgbClr val="FFD401"/>
              </a:solidFill>
            </a:rPr>
            <a:t>i</a:t>
          </a:r>
          <a:endParaRPr lang="de-DE" sz="1100" b="1">
            <a:solidFill>
              <a:srgbClr val="FFD401"/>
            </a:solidFill>
          </a:endParaRPr>
        </a:p>
      </xdr:txBody>
    </xdr:sp>
    <xdr:clientData/>
  </xdr:twoCellAnchor>
  <xdr:twoCellAnchor>
    <xdr:from>
      <xdr:col>8</xdr:col>
      <xdr:colOff>1203596</xdr:colOff>
      <xdr:row>5</xdr:row>
      <xdr:rowOff>79663</xdr:rowOff>
    </xdr:from>
    <xdr:to>
      <xdr:col>9</xdr:col>
      <xdr:colOff>148919</xdr:colOff>
      <xdr:row>6</xdr:row>
      <xdr:rowOff>94095</xdr:rowOff>
    </xdr:to>
    <xdr:sp macro="" textlink="">
      <xdr:nvSpPr>
        <xdr:cNvPr id="10" name="Ellipse 9">
          <a:hlinkClick xmlns:r="http://schemas.openxmlformats.org/officeDocument/2006/relationships" r:id="rId3" tooltip="Region"/>
          <a:extLst>
            <a:ext uri="{FF2B5EF4-FFF2-40B4-BE49-F238E27FC236}">
              <a16:creationId xmlns:a16="http://schemas.microsoft.com/office/drawing/2014/main" id="{E0983DC4-B9D9-473C-879B-C02B3CEF923A}"/>
            </a:ext>
          </a:extLst>
        </xdr:cNvPr>
        <xdr:cNvSpPr/>
      </xdr:nvSpPr>
      <xdr:spPr>
        <a:xfrm>
          <a:off x="6052687" y="1159163"/>
          <a:ext cx="209550" cy="199159"/>
        </a:xfrm>
        <a:prstGeom prst="ellipse">
          <a:avLst/>
        </a:prstGeom>
        <a:solidFill>
          <a:srgbClr val="183A68"/>
        </a:solidFill>
        <a:ln w="19050" cap="flat" cmpd="sng" algn="ctr">
          <a:solidFill>
            <a:srgbClr val="E20612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200" b="1" i="0" u="none" strike="noStrike" kern="0" cap="none" spc="0" normalizeH="0" baseline="0" noProof="0">
              <a:ln>
                <a:noFill/>
              </a:ln>
              <a:solidFill>
                <a:srgbClr val="FFD401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i</a:t>
          </a:r>
          <a:endParaRPr kumimoji="0" lang="de-DE" sz="1100" b="1" i="0" u="none" strike="noStrike" kern="0" cap="none" spc="0" normalizeH="0" baseline="0" noProof="0">
            <a:ln>
              <a:noFill/>
            </a:ln>
            <a:solidFill>
              <a:srgbClr val="FFD401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480300</xdr:colOff>
      <xdr:row>5</xdr:row>
      <xdr:rowOff>79086</xdr:rowOff>
    </xdr:from>
    <xdr:to>
      <xdr:col>4</xdr:col>
      <xdr:colOff>689850</xdr:colOff>
      <xdr:row>6</xdr:row>
      <xdr:rowOff>93518</xdr:rowOff>
    </xdr:to>
    <xdr:sp macro="" textlink="">
      <xdr:nvSpPr>
        <xdr:cNvPr id="4" name="Ellipse 3">
          <a:hlinkClick xmlns:r="http://schemas.openxmlformats.org/officeDocument/2006/relationships" r:id="rId4" tooltip="LVRT-Fähigkeit"/>
          <a:extLst>
            <a:ext uri="{FF2B5EF4-FFF2-40B4-BE49-F238E27FC236}">
              <a16:creationId xmlns:a16="http://schemas.microsoft.com/office/drawing/2014/main" id="{750EB108-60F3-4C2B-8221-1E59A02B5619}"/>
            </a:ext>
          </a:extLst>
        </xdr:cNvPr>
        <xdr:cNvSpPr/>
      </xdr:nvSpPr>
      <xdr:spPr>
        <a:xfrm>
          <a:off x="2408391" y="1158586"/>
          <a:ext cx="209550" cy="199159"/>
        </a:xfrm>
        <a:prstGeom prst="ellipse">
          <a:avLst/>
        </a:prstGeom>
        <a:solidFill>
          <a:srgbClr val="183A68"/>
        </a:solidFill>
        <a:ln w="19050" cap="flat" cmpd="sng" algn="ctr">
          <a:solidFill>
            <a:srgbClr val="E20612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200" b="1" i="0" u="none" strike="noStrike" kern="0" cap="none" spc="0" normalizeH="0" baseline="0" noProof="0">
              <a:ln>
                <a:noFill/>
              </a:ln>
              <a:solidFill>
                <a:srgbClr val="FFD401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i</a:t>
          </a:r>
          <a:endParaRPr kumimoji="0" lang="de-DE" sz="1100" b="1" i="0" u="none" strike="noStrike" kern="0" cap="none" spc="0" normalizeH="0" baseline="0" noProof="0">
            <a:ln>
              <a:noFill/>
            </a:ln>
            <a:solidFill>
              <a:srgbClr val="FFD401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5257800</xdr:colOff>
      <xdr:row>57</xdr:row>
      <xdr:rowOff>82550</xdr:rowOff>
    </xdr:from>
    <xdr:to>
      <xdr:col>4</xdr:col>
      <xdr:colOff>69850</xdr:colOff>
      <xdr:row>59</xdr:row>
      <xdr:rowOff>76200</xdr:rowOff>
    </xdr:to>
    <xdr:sp macro="" textlink="">
      <xdr:nvSpPr>
        <xdr:cNvPr id="6" name="Ellips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406754-24F3-CEF9-B65F-692C9B574A1B}"/>
            </a:ext>
          </a:extLst>
        </xdr:cNvPr>
        <xdr:cNvSpPr/>
      </xdr:nvSpPr>
      <xdr:spPr>
        <a:xfrm>
          <a:off x="6343650" y="10471150"/>
          <a:ext cx="1377950" cy="36195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5257800</xdr:colOff>
      <xdr:row>96</xdr:row>
      <xdr:rowOff>82550</xdr:rowOff>
    </xdr:from>
    <xdr:to>
      <xdr:col>4</xdr:col>
      <xdr:colOff>69850</xdr:colOff>
      <xdr:row>98</xdr:row>
      <xdr:rowOff>76200</xdr:rowOff>
    </xdr:to>
    <xdr:sp macro="" textlink="">
      <xdr:nvSpPr>
        <xdr:cNvPr id="7" name="Ellips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6EAD1A-D16E-4A39-B1CC-FBD2CDEC5F10}"/>
            </a:ext>
          </a:extLst>
        </xdr:cNvPr>
        <xdr:cNvSpPr/>
      </xdr:nvSpPr>
      <xdr:spPr>
        <a:xfrm>
          <a:off x="6343650" y="10471150"/>
          <a:ext cx="1377950" cy="36195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5257800</xdr:colOff>
      <xdr:row>6</xdr:row>
      <xdr:rowOff>82550</xdr:rowOff>
    </xdr:from>
    <xdr:to>
      <xdr:col>4</xdr:col>
      <xdr:colOff>69850</xdr:colOff>
      <xdr:row>8</xdr:row>
      <xdr:rowOff>76200</xdr:rowOff>
    </xdr:to>
    <xdr:sp macro="" textlink="">
      <xdr:nvSpPr>
        <xdr:cNvPr id="5" name="Ellips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EDE36C-362E-4FC8-9EEA-D6CE03313F2F}"/>
            </a:ext>
          </a:extLst>
        </xdr:cNvPr>
        <xdr:cNvSpPr/>
      </xdr:nvSpPr>
      <xdr:spPr>
        <a:xfrm>
          <a:off x="6343650" y="17430750"/>
          <a:ext cx="1377950" cy="36195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5257800</xdr:colOff>
      <xdr:row>36</xdr:row>
      <xdr:rowOff>82550</xdr:rowOff>
    </xdr:from>
    <xdr:to>
      <xdr:col>4</xdr:col>
      <xdr:colOff>69850</xdr:colOff>
      <xdr:row>38</xdr:row>
      <xdr:rowOff>76200</xdr:rowOff>
    </xdr:to>
    <xdr:sp macro="" textlink="">
      <xdr:nvSpPr>
        <xdr:cNvPr id="8" name="Ellips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A4A344-35CA-4070-80C3-ECED05743C5A}"/>
            </a:ext>
          </a:extLst>
        </xdr:cNvPr>
        <xdr:cNvSpPr/>
      </xdr:nvSpPr>
      <xdr:spPr>
        <a:xfrm>
          <a:off x="6343650" y="1397000"/>
          <a:ext cx="1377950" cy="36195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5257800</xdr:colOff>
      <xdr:row>66</xdr:row>
      <xdr:rowOff>82550</xdr:rowOff>
    </xdr:from>
    <xdr:to>
      <xdr:col>4</xdr:col>
      <xdr:colOff>69850</xdr:colOff>
      <xdr:row>68</xdr:row>
      <xdr:rowOff>76200</xdr:rowOff>
    </xdr:to>
    <xdr:sp macro="" textlink="">
      <xdr:nvSpPr>
        <xdr:cNvPr id="9" name="Ellips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7E0500-534E-4710-8805-6AE018DBBBFC}"/>
            </a:ext>
          </a:extLst>
        </xdr:cNvPr>
        <xdr:cNvSpPr/>
      </xdr:nvSpPr>
      <xdr:spPr>
        <a:xfrm>
          <a:off x="6343650" y="1397000"/>
          <a:ext cx="1377950" cy="36195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5257800</xdr:colOff>
      <xdr:row>126</xdr:row>
      <xdr:rowOff>82550</xdr:rowOff>
    </xdr:from>
    <xdr:to>
      <xdr:col>4</xdr:col>
      <xdr:colOff>69850</xdr:colOff>
      <xdr:row>128</xdr:row>
      <xdr:rowOff>76200</xdr:rowOff>
    </xdr:to>
    <xdr:sp macro="" textlink="">
      <xdr:nvSpPr>
        <xdr:cNvPr id="10" name="Ellips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CD5348-47F4-4036-887B-D765F536EB17}"/>
            </a:ext>
          </a:extLst>
        </xdr:cNvPr>
        <xdr:cNvSpPr/>
      </xdr:nvSpPr>
      <xdr:spPr>
        <a:xfrm>
          <a:off x="6343650" y="1397000"/>
          <a:ext cx="1377950" cy="36195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31750</xdr:colOff>
      <xdr:row>7</xdr:row>
      <xdr:rowOff>50800</xdr:rowOff>
    </xdr:from>
    <xdr:to>
      <xdr:col>4</xdr:col>
      <xdr:colOff>222250</xdr:colOff>
      <xdr:row>9</xdr:row>
      <xdr:rowOff>44450</xdr:rowOff>
    </xdr:to>
    <xdr:sp macro="" textlink="">
      <xdr:nvSpPr>
        <xdr:cNvPr id="2" name="Ellips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5EC312-6E39-46C1-8AAE-CAEEF7EAA7F0}"/>
            </a:ext>
          </a:extLst>
        </xdr:cNvPr>
        <xdr:cNvSpPr/>
      </xdr:nvSpPr>
      <xdr:spPr>
        <a:xfrm>
          <a:off x="6496050" y="1549400"/>
          <a:ext cx="1377950" cy="36195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63500</xdr:colOff>
      <xdr:row>68</xdr:row>
      <xdr:rowOff>95250</xdr:rowOff>
    </xdr:from>
    <xdr:to>
      <xdr:col>8</xdr:col>
      <xdr:colOff>1168400</xdr:colOff>
      <xdr:row>70</xdr:row>
      <xdr:rowOff>95250</xdr:rowOff>
    </xdr:to>
    <xdr:sp macro="" textlink="">
      <xdr:nvSpPr>
        <xdr:cNvPr id="4" name="Ellips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07C179-CDAB-4FC5-B468-EC201BD81B7D}"/>
            </a:ext>
          </a:extLst>
        </xdr:cNvPr>
        <xdr:cNvSpPr/>
      </xdr:nvSpPr>
      <xdr:spPr>
        <a:xfrm>
          <a:off x="8534400" y="12515850"/>
          <a:ext cx="1377950" cy="36195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82550</xdr:colOff>
      <xdr:row>70</xdr:row>
      <xdr:rowOff>101600</xdr:rowOff>
    </xdr:from>
    <xdr:to>
      <xdr:col>9</xdr:col>
      <xdr:colOff>0</xdr:colOff>
      <xdr:row>72</xdr:row>
      <xdr:rowOff>107950</xdr:rowOff>
    </xdr:to>
    <xdr:sp macro="" textlink="">
      <xdr:nvSpPr>
        <xdr:cNvPr id="11" name="Ellipse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C3A8F1-B6A8-48E7-86B6-4F5C4FA146FA}"/>
            </a:ext>
          </a:extLst>
        </xdr:cNvPr>
        <xdr:cNvSpPr/>
      </xdr:nvSpPr>
      <xdr:spPr>
        <a:xfrm>
          <a:off x="8553450" y="12884150"/>
          <a:ext cx="1377950" cy="36195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31750</xdr:colOff>
      <xdr:row>72</xdr:row>
      <xdr:rowOff>107950</xdr:rowOff>
    </xdr:from>
    <xdr:to>
      <xdr:col>8</xdr:col>
      <xdr:colOff>1136650</xdr:colOff>
      <xdr:row>74</xdr:row>
      <xdr:rowOff>114300</xdr:rowOff>
    </xdr:to>
    <xdr:sp macro="" textlink="">
      <xdr:nvSpPr>
        <xdr:cNvPr id="12" name="Ellipse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F7BFFB-5FB3-4EAA-89AD-E799891962E6}"/>
            </a:ext>
          </a:extLst>
        </xdr:cNvPr>
        <xdr:cNvSpPr/>
      </xdr:nvSpPr>
      <xdr:spPr>
        <a:xfrm>
          <a:off x="8502650" y="13246100"/>
          <a:ext cx="1377950" cy="36195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38100</xdr:colOff>
      <xdr:row>38</xdr:row>
      <xdr:rowOff>114300</xdr:rowOff>
    </xdr:from>
    <xdr:to>
      <xdr:col>8</xdr:col>
      <xdr:colOff>1143000</xdr:colOff>
      <xdr:row>40</xdr:row>
      <xdr:rowOff>114300</xdr:rowOff>
    </xdr:to>
    <xdr:sp macro="" textlink="">
      <xdr:nvSpPr>
        <xdr:cNvPr id="19" name="Ellipse 1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753947-5FE3-447B-B0FC-C1CBBB0283AD}"/>
            </a:ext>
          </a:extLst>
        </xdr:cNvPr>
        <xdr:cNvSpPr/>
      </xdr:nvSpPr>
      <xdr:spPr>
        <a:xfrm>
          <a:off x="8509000" y="7169150"/>
          <a:ext cx="1377950" cy="36195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57150</xdr:colOff>
      <xdr:row>40</xdr:row>
      <xdr:rowOff>120650</xdr:rowOff>
    </xdr:from>
    <xdr:to>
      <xdr:col>8</xdr:col>
      <xdr:colOff>1162050</xdr:colOff>
      <xdr:row>42</xdr:row>
      <xdr:rowOff>127000</xdr:rowOff>
    </xdr:to>
    <xdr:sp macro="" textlink="">
      <xdr:nvSpPr>
        <xdr:cNvPr id="20" name="Ellips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DF25E66-D2F1-49F8-AE7E-189E2FB07128}"/>
            </a:ext>
          </a:extLst>
        </xdr:cNvPr>
        <xdr:cNvSpPr/>
      </xdr:nvSpPr>
      <xdr:spPr>
        <a:xfrm>
          <a:off x="8528050" y="7537450"/>
          <a:ext cx="1377950" cy="36195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6350</xdr:colOff>
      <xdr:row>42</xdr:row>
      <xdr:rowOff>127000</xdr:rowOff>
    </xdr:from>
    <xdr:to>
      <xdr:col>8</xdr:col>
      <xdr:colOff>1111250</xdr:colOff>
      <xdr:row>44</xdr:row>
      <xdr:rowOff>133350</xdr:rowOff>
    </xdr:to>
    <xdr:sp macro="" textlink="">
      <xdr:nvSpPr>
        <xdr:cNvPr id="21" name="Ellipse 2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2ECBD17-0FA6-4CFD-8087-BE7830EC1576}"/>
            </a:ext>
          </a:extLst>
        </xdr:cNvPr>
        <xdr:cNvSpPr/>
      </xdr:nvSpPr>
      <xdr:spPr>
        <a:xfrm>
          <a:off x="8477250" y="7899400"/>
          <a:ext cx="1377950" cy="36195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10</xdr:col>
      <xdr:colOff>31750</xdr:colOff>
      <xdr:row>42</xdr:row>
      <xdr:rowOff>0</xdr:rowOff>
    </xdr:from>
    <xdr:to>
      <xdr:col>11</xdr:col>
      <xdr:colOff>596900</xdr:colOff>
      <xdr:row>44</xdr:row>
      <xdr:rowOff>6350</xdr:rowOff>
    </xdr:to>
    <xdr:sp macro="" textlink="">
      <xdr:nvSpPr>
        <xdr:cNvPr id="22" name="Ellipse 2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F0F079-E114-4ACF-915C-8324B7353A22}"/>
            </a:ext>
          </a:extLst>
        </xdr:cNvPr>
        <xdr:cNvSpPr/>
      </xdr:nvSpPr>
      <xdr:spPr>
        <a:xfrm>
          <a:off x="10236200" y="7772400"/>
          <a:ext cx="1377950" cy="36195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10</xdr:col>
      <xdr:colOff>50800</xdr:colOff>
      <xdr:row>44</xdr:row>
      <xdr:rowOff>12700</xdr:rowOff>
    </xdr:from>
    <xdr:to>
      <xdr:col>11</xdr:col>
      <xdr:colOff>615950</xdr:colOff>
      <xdr:row>46</xdr:row>
      <xdr:rowOff>19050</xdr:rowOff>
    </xdr:to>
    <xdr:sp macro="" textlink="">
      <xdr:nvSpPr>
        <xdr:cNvPr id="23" name="Ellipse 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D24F73-C36E-4CD5-9CE9-0AFD75B375B3}"/>
            </a:ext>
          </a:extLst>
        </xdr:cNvPr>
        <xdr:cNvSpPr/>
      </xdr:nvSpPr>
      <xdr:spPr>
        <a:xfrm>
          <a:off x="10255250" y="8140700"/>
          <a:ext cx="1377950" cy="36195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11</xdr:col>
      <xdr:colOff>565150</xdr:colOff>
      <xdr:row>48</xdr:row>
      <xdr:rowOff>25400</xdr:rowOff>
    </xdr:to>
    <xdr:sp macro="" textlink="">
      <xdr:nvSpPr>
        <xdr:cNvPr id="24" name="Ellipse 2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5258DE3-6827-4863-885A-36C69C6EA3DD}"/>
            </a:ext>
          </a:extLst>
        </xdr:cNvPr>
        <xdr:cNvSpPr/>
      </xdr:nvSpPr>
      <xdr:spPr>
        <a:xfrm>
          <a:off x="10204450" y="8502650"/>
          <a:ext cx="1377950" cy="36195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50800</xdr:colOff>
      <xdr:row>8</xdr:row>
      <xdr:rowOff>95250</xdr:rowOff>
    </xdr:from>
    <xdr:to>
      <xdr:col>8</xdr:col>
      <xdr:colOff>1155700</xdr:colOff>
      <xdr:row>10</xdr:row>
      <xdr:rowOff>95250</xdr:rowOff>
    </xdr:to>
    <xdr:sp macro="" textlink="">
      <xdr:nvSpPr>
        <xdr:cNvPr id="25" name="Ellipse 2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FFEBD0-26A3-4C84-A01B-55D50AE73ABF}"/>
            </a:ext>
          </a:extLst>
        </xdr:cNvPr>
        <xdr:cNvSpPr/>
      </xdr:nvSpPr>
      <xdr:spPr>
        <a:xfrm>
          <a:off x="8521700" y="1778000"/>
          <a:ext cx="1377950" cy="36195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69850</xdr:colOff>
      <xdr:row>10</xdr:row>
      <xdr:rowOff>101600</xdr:rowOff>
    </xdr:from>
    <xdr:to>
      <xdr:col>8</xdr:col>
      <xdr:colOff>1174750</xdr:colOff>
      <xdr:row>12</xdr:row>
      <xdr:rowOff>107950</xdr:rowOff>
    </xdr:to>
    <xdr:sp macro="" textlink="">
      <xdr:nvSpPr>
        <xdr:cNvPr id="26" name="Ellipse 2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7BEBDCF-FB62-4232-ADD9-E6E84C89FE0E}"/>
            </a:ext>
          </a:extLst>
        </xdr:cNvPr>
        <xdr:cNvSpPr/>
      </xdr:nvSpPr>
      <xdr:spPr>
        <a:xfrm>
          <a:off x="8540750" y="2146300"/>
          <a:ext cx="1377950" cy="36195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19050</xdr:colOff>
      <xdr:row>12</xdr:row>
      <xdr:rowOff>107950</xdr:rowOff>
    </xdr:from>
    <xdr:to>
      <xdr:col>8</xdr:col>
      <xdr:colOff>1123950</xdr:colOff>
      <xdr:row>14</xdr:row>
      <xdr:rowOff>114300</xdr:rowOff>
    </xdr:to>
    <xdr:sp macro="" textlink="">
      <xdr:nvSpPr>
        <xdr:cNvPr id="27" name="Ellipse 2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CFF73F0-215C-48FE-84C9-296257BB119E}"/>
            </a:ext>
          </a:extLst>
        </xdr:cNvPr>
        <xdr:cNvSpPr/>
      </xdr:nvSpPr>
      <xdr:spPr>
        <a:xfrm>
          <a:off x="8489950" y="2508250"/>
          <a:ext cx="1377950" cy="36195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2</xdr:col>
      <xdr:colOff>5308600</xdr:colOff>
      <xdr:row>0</xdr:row>
      <xdr:rowOff>222250</xdr:rowOff>
    </xdr:from>
    <xdr:to>
      <xdr:col>4</xdr:col>
      <xdr:colOff>265651</xdr:colOff>
      <xdr:row>1</xdr:row>
      <xdr:rowOff>190750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23D80192-22DA-4393-B074-19247BC54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8100" y="222250"/>
          <a:ext cx="1522951" cy="5400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0</v>
    <v>5</v>
  </rv>
  <rv s="0">
    <v>1</v>
    <v>5</v>
  </rv>
  <rv s="0">
    <v>0</v>
    <v>4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B90A5-25E7-4641-A099-839221DAF483}">
  <sheetPr codeName="Tabelle1"/>
  <dimension ref="A1:BA86"/>
  <sheetViews>
    <sheetView showGridLines="0" showRowColHeaders="0" tabSelected="1" zoomScale="85" zoomScaleNormal="85" zoomScaleSheetLayoutView="26" workbookViewId="0">
      <pane ySplit="4" topLeftCell="A5" activePane="bottomLeft" state="frozen"/>
      <selection pane="bottomLeft" activeCell="A64" sqref="A64"/>
    </sheetView>
  </sheetViews>
  <sheetFormatPr baseColWidth="10" defaultColWidth="10.625" defaultRowHeight="14.25"/>
  <cols>
    <col min="1" max="1" width="2.625" style="6" customWidth="1"/>
    <col min="2" max="2" width="3.625" style="6" customWidth="1"/>
    <col min="3" max="3" width="15.625" style="6" customWidth="1"/>
    <col min="4" max="4" width="3.625" style="6" customWidth="1"/>
    <col min="5" max="5" width="15.625" style="6" customWidth="1"/>
    <col min="6" max="6" width="3.625" style="6" customWidth="1"/>
    <col min="7" max="7" width="15.625" style="6" customWidth="1"/>
    <col min="8" max="8" width="3.625" style="6" customWidth="1"/>
    <col min="9" max="9" width="16.625" style="6" customWidth="1"/>
    <col min="10" max="10" width="17.625" style="6" customWidth="1"/>
    <col min="11" max="11" width="3.625" style="6" customWidth="1"/>
    <col min="12" max="12" width="15.625" style="6" customWidth="1"/>
    <col min="13" max="13" width="3.625" style="6" customWidth="1"/>
    <col min="14" max="26" width="10.625" style="6"/>
    <col min="27" max="27" width="12.125" style="6" bestFit="1" customWidth="1"/>
    <col min="28" max="28" width="10.625" style="6" bestFit="1" customWidth="1"/>
    <col min="29" max="29" width="13.625" style="6" bestFit="1" customWidth="1"/>
    <col min="30" max="30" width="10.625" style="6" customWidth="1"/>
    <col min="31" max="31" width="7.625" style="6" hidden="1" customWidth="1"/>
    <col min="32" max="33" width="12.375" style="6" bestFit="1" customWidth="1"/>
    <col min="34" max="34" width="10.875" style="6" bestFit="1" customWidth="1"/>
    <col min="35" max="36" width="10.625" style="6" bestFit="1" customWidth="1"/>
    <col min="37" max="16384" width="10.625" style="6"/>
  </cols>
  <sheetData>
    <row r="1" spans="1:53" s="201" customFormat="1" ht="45" customHeight="1">
      <c r="A1" s="200" t="s">
        <v>104</v>
      </c>
    </row>
    <row r="2" spans="1:53" s="202" customFormat="1" ht="20.100000000000001" customHeight="1">
      <c r="A2" s="202" t="s">
        <v>117</v>
      </c>
    </row>
    <row r="3" spans="1:53" s="123" customFormat="1" ht="5.0999999999999996" customHeight="1"/>
    <row r="4" spans="1:53" s="124" customFormat="1" ht="5.0999999999999996" customHeight="1"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</row>
    <row r="5" spans="1:53" ht="9.9499999999999993" customHeight="1">
      <c r="Q5" s="182"/>
      <c r="R5" s="127"/>
      <c r="S5" s="127"/>
      <c r="T5" s="127"/>
      <c r="U5" s="127"/>
      <c r="V5" s="127"/>
      <c r="W5" s="127"/>
      <c r="X5" s="127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</row>
    <row r="6" spans="1:53" s="7" customFormat="1" ht="15" thickBot="1">
      <c r="B6" s="219" t="s">
        <v>15</v>
      </c>
      <c r="C6" s="219"/>
      <c r="D6" s="219"/>
      <c r="N6" s="6"/>
      <c r="O6" s="6"/>
      <c r="P6" s="6"/>
      <c r="Q6" s="182"/>
      <c r="R6" s="127"/>
      <c r="S6" s="127"/>
      <c r="T6" s="127"/>
      <c r="U6" s="127"/>
      <c r="V6" s="127"/>
      <c r="W6" s="127"/>
      <c r="X6" s="127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7"/>
      <c r="AQ6" s="127"/>
      <c r="AR6" s="6"/>
      <c r="AS6" s="6"/>
      <c r="AT6" s="6"/>
      <c r="AU6" s="6"/>
      <c r="AV6" s="6"/>
      <c r="AW6" s="6"/>
    </row>
    <row r="7" spans="1:53" s="5" customFormat="1" ht="15">
      <c r="B7" s="65"/>
      <c r="C7" s="66"/>
      <c r="D7" s="66"/>
      <c r="E7" s="66"/>
      <c r="F7" s="66"/>
      <c r="G7" s="66"/>
      <c r="H7" s="66"/>
      <c r="I7" s="67"/>
      <c r="J7" s="66"/>
      <c r="K7" s="66"/>
      <c r="L7" s="66"/>
      <c r="M7" s="68"/>
      <c r="N7" s="125"/>
      <c r="O7" s="125"/>
      <c r="P7" s="125"/>
      <c r="Q7" s="183"/>
      <c r="R7" s="129"/>
      <c r="S7" s="129"/>
      <c r="T7" s="129"/>
      <c r="U7" s="129"/>
      <c r="V7" s="129"/>
      <c r="W7" s="129"/>
      <c r="X7" s="129"/>
      <c r="Y7" s="130"/>
      <c r="Z7" s="130"/>
      <c r="AA7" s="218" t="s">
        <v>14</v>
      </c>
      <c r="AB7" s="218"/>
      <c r="AC7" s="218"/>
      <c r="AD7" s="218"/>
      <c r="AE7" s="218"/>
      <c r="AF7" s="218"/>
      <c r="AG7" s="218"/>
      <c r="AH7" s="130"/>
      <c r="AI7" s="130"/>
      <c r="AJ7" s="130"/>
      <c r="AK7" s="130"/>
      <c r="AL7" s="130"/>
      <c r="AM7" s="130"/>
      <c r="AN7" s="130"/>
      <c r="AO7" s="129"/>
      <c r="AP7" s="129"/>
      <c r="AQ7" s="129"/>
      <c r="AR7" s="129"/>
      <c r="AS7" s="129"/>
      <c r="AT7" s="129"/>
      <c r="AU7" s="129"/>
      <c r="AV7" s="129"/>
      <c r="AW7" s="129"/>
      <c r="AX7" s="129"/>
      <c r="AY7" s="129"/>
      <c r="AZ7" s="129"/>
      <c r="BA7" s="129"/>
    </row>
    <row r="8" spans="1:53" ht="15">
      <c r="B8" s="69"/>
      <c r="C8" s="62" t="s">
        <v>0</v>
      </c>
      <c r="D8" s="62"/>
      <c r="E8" s="62" t="s">
        <v>1</v>
      </c>
      <c r="F8" s="62"/>
      <c r="G8" s="62" t="s">
        <v>2</v>
      </c>
      <c r="H8" s="62"/>
      <c r="I8" s="238" t="s">
        <v>3</v>
      </c>
      <c r="J8" s="238"/>
      <c r="L8" s="62" t="s">
        <v>76</v>
      </c>
      <c r="M8" s="70"/>
      <c r="Q8" s="182"/>
      <c r="R8" s="127"/>
      <c r="S8" s="127"/>
      <c r="T8" s="127"/>
      <c r="U8" s="127"/>
      <c r="V8" s="127"/>
      <c r="W8" s="127"/>
      <c r="X8" s="127"/>
      <c r="Y8" s="128"/>
      <c r="Z8" s="128"/>
      <c r="AA8" s="128"/>
      <c r="AB8" s="128"/>
      <c r="AC8" s="128"/>
      <c r="AD8" s="184"/>
      <c r="AE8" s="128"/>
      <c r="AF8" s="128"/>
      <c r="AG8" s="128"/>
      <c r="AH8" s="128" t="s">
        <v>122</v>
      </c>
      <c r="AI8" s="226" t="s">
        <v>118</v>
      </c>
      <c r="AJ8" s="226"/>
      <c r="AK8" s="128"/>
      <c r="AL8" s="128"/>
      <c r="AM8" s="128"/>
      <c r="AN8" s="128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27"/>
      <c r="AZ8" s="127"/>
      <c r="BA8" s="127"/>
    </row>
    <row r="9" spans="1:53" ht="15" thickBot="1">
      <c r="B9" s="71"/>
      <c r="M9" s="70"/>
      <c r="Y9" s="128"/>
      <c r="Z9" s="128"/>
      <c r="AA9" s="185">
        <v>1</v>
      </c>
      <c r="AB9" s="185">
        <v>1</v>
      </c>
      <c r="AC9" s="185">
        <v>2</v>
      </c>
      <c r="AD9" s="221">
        <v>10</v>
      </c>
      <c r="AE9" s="221"/>
      <c r="AF9" s="221"/>
      <c r="AG9" s="221"/>
      <c r="AH9" s="128"/>
      <c r="AI9" s="128"/>
      <c r="AJ9" s="128"/>
      <c r="AK9" s="128"/>
      <c r="AL9" s="128"/>
      <c r="AM9" s="128"/>
      <c r="AN9" s="128"/>
      <c r="AO9" s="127"/>
      <c r="AP9" s="127"/>
      <c r="AQ9" s="127"/>
      <c r="AR9" s="127"/>
      <c r="AS9" s="127"/>
      <c r="AT9" s="127"/>
      <c r="AU9" s="127"/>
      <c r="AV9" s="127"/>
      <c r="AW9" s="127"/>
      <c r="AX9" s="127"/>
      <c r="AY9" s="127"/>
      <c r="AZ9" s="127"/>
      <c r="BA9" s="127"/>
    </row>
    <row r="10" spans="1:53">
      <c r="B10" s="71"/>
      <c r="C10" s="233"/>
      <c r="E10" s="11"/>
      <c r="G10" s="11"/>
      <c r="I10" s="11"/>
      <c r="J10" s="11"/>
      <c r="L10" s="234">
        <v>70</v>
      </c>
      <c r="M10" s="70"/>
      <c r="Y10" s="128"/>
      <c r="Z10" s="128"/>
      <c r="AA10" s="186" t="s">
        <v>5</v>
      </c>
      <c r="AB10" s="186" t="s">
        <v>9</v>
      </c>
      <c r="AC10" s="186" t="s">
        <v>88</v>
      </c>
      <c r="AD10" s="128" t="s">
        <v>107</v>
      </c>
      <c r="AE10" s="128"/>
      <c r="AF10" s="128"/>
      <c r="AG10" s="128"/>
      <c r="AH10" s="187">
        <v>28571</v>
      </c>
      <c r="AI10" s="128">
        <v>65</v>
      </c>
      <c r="AJ10" s="128">
        <v>75</v>
      </c>
      <c r="AK10" s="128"/>
      <c r="AL10" s="128"/>
      <c r="AM10" s="128"/>
      <c r="AN10" s="128"/>
      <c r="AO10" s="127"/>
      <c r="AP10" s="127"/>
      <c r="AQ10" s="127"/>
      <c r="AR10" s="127"/>
      <c r="AS10" s="127"/>
      <c r="AT10" s="127"/>
      <c r="AU10" s="127"/>
      <c r="AV10" s="127"/>
      <c r="AW10" s="127"/>
      <c r="AX10" s="127"/>
      <c r="AY10" s="127"/>
      <c r="AZ10" s="127"/>
      <c r="BA10" s="127"/>
    </row>
    <row r="11" spans="1:53" ht="15" thickBot="1">
      <c r="B11" s="71"/>
      <c r="C11" s="233"/>
      <c r="E11" s="11"/>
      <c r="G11" s="11"/>
      <c r="I11" s="11"/>
      <c r="J11" s="11"/>
      <c r="L11" s="235"/>
      <c r="M11" s="70"/>
      <c r="Y11" s="128"/>
      <c r="Z11" s="128"/>
      <c r="AA11" s="186" t="s">
        <v>6</v>
      </c>
      <c r="AB11" s="186" t="s">
        <v>8</v>
      </c>
      <c r="AC11" s="186" t="s">
        <v>89</v>
      </c>
      <c r="AD11" s="128" t="s">
        <v>108</v>
      </c>
      <c r="AE11" s="128"/>
      <c r="AF11" s="128"/>
      <c r="AG11" s="128"/>
      <c r="AH11" s="187">
        <v>10700</v>
      </c>
      <c r="AI11" s="128">
        <v>20</v>
      </c>
      <c r="AJ11" s="128">
        <v>30</v>
      </c>
      <c r="AK11" s="128"/>
      <c r="AL11" s="128"/>
      <c r="AM11" s="128"/>
      <c r="AN11" s="128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</row>
    <row r="12" spans="1:53" ht="15">
      <c r="B12" s="71"/>
      <c r="L12" s="63"/>
      <c r="M12" s="70"/>
      <c r="Y12" s="128"/>
      <c r="Z12" s="128"/>
      <c r="AA12" s="186" t="s">
        <v>4</v>
      </c>
      <c r="AB12" s="128"/>
      <c r="AC12" s="128"/>
      <c r="AD12" s="128" t="s">
        <v>116</v>
      </c>
      <c r="AE12" s="128"/>
      <c r="AF12" s="128"/>
      <c r="AG12" s="128"/>
      <c r="AH12" s="187">
        <v>20000</v>
      </c>
      <c r="AI12" s="128">
        <v>45</v>
      </c>
      <c r="AJ12" s="128">
        <v>60</v>
      </c>
      <c r="AK12" s="128"/>
      <c r="AL12" s="128"/>
      <c r="AM12" s="128"/>
      <c r="AN12" s="128"/>
      <c r="AO12" s="127"/>
      <c r="AP12" s="127"/>
      <c r="AQ12" s="127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</row>
    <row r="13" spans="1:53" ht="15">
      <c r="B13" s="71"/>
      <c r="C13" s="62" t="s">
        <v>83</v>
      </c>
      <c r="E13" s="62" t="s">
        <v>99</v>
      </c>
      <c r="G13" s="62" t="s">
        <v>68</v>
      </c>
      <c r="I13" s="62"/>
      <c r="M13" s="70"/>
      <c r="Y13" s="128"/>
      <c r="Z13" s="128"/>
      <c r="AA13" s="128"/>
      <c r="AB13" s="128"/>
      <c r="AC13" s="128"/>
      <c r="AD13" s="128" t="s">
        <v>109</v>
      </c>
      <c r="AE13" s="128"/>
      <c r="AF13" s="128"/>
      <c r="AG13" s="128"/>
      <c r="AH13" s="187">
        <v>20000</v>
      </c>
      <c r="AI13" s="128">
        <v>45</v>
      </c>
      <c r="AJ13" s="128">
        <v>60</v>
      </c>
      <c r="AK13" s="128"/>
      <c r="AL13" s="128"/>
      <c r="AM13" s="128"/>
      <c r="AN13" s="128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</row>
    <row r="14" spans="1:53" s="7" customFormat="1" ht="15.75" thickBot="1">
      <c r="B14" s="72"/>
      <c r="M14" s="73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128"/>
      <c r="Z14" s="128"/>
      <c r="AA14" s="188" t="s">
        <v>7</v>
      </c>
      <c r="AB14" s="188" t="s">
        <v>10</v>
      </c>
      <c r="AC14" s="188" t="s">
        <v>11</v>
      </c>
      <c r="AD14" s="128" t="s">
        <v>110</v>
      </c>
      <c r="AE14" s="128"/>
      <c r="AF14" s="128"/>
      <c r="AG14" s="128"/>
      <c r="AH14" s="187">
        <v>28571</v>
      </c>
      <c r="AI14" s="128">
        <v>65</v>
      </c>
      <c r="AJ14" s="128">
        <v>75</v>
      </c>
      <c r="AK14" s="128"/>
      <c r="AL14" s="128"/>
      <c r="AM14" s="128"/>
      <c r="AN14" s="128"/>
      <c r="AO14" s="127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27"/>
    </row>
    <row r="15" spans="1:53" ht="14.1" customHeight="1">
      <c r="B15" s="71"/>
      <c r="C15" s="229"/>
      <c r="D15" s="64"/>
      <c r="E15" s="229"/>
      <c r="F15" s="64"/>
      <c r="G15" s="239"/>
      <c r="H15" s="240"/>
      <c r="I15" s="240"/>
      <c r="J15" s="240"/>
      <c r="K15" s="240"/>
      <c r="L15" s="241"/>
      <c r="M15" s="70"/>
      <c r="N15" s="126"/>
      <c r="Y15" s="128"/>
      <c r="Z15" s="128"/>
      <c r="AA15" s="128"/>
      <c r="AB15" s="128"/>
      <c r="AC15" s="128"/>
      <c r="AD15" s="128" t="s">
        <v>111</v>
      </c>
      <c r="AE15" s="128"/>
      <c r="AF15" s="128"/>
      <c r="AG15" s="128"/>
      <c r="AH15" s="187">
        <v>10700</v>
      </c>
      <c r="AI15" s="128">
        <v>20</v>
      </c>
      <c r="AJ15" s="128">
        <v>30</v>
      </c>
      <c r="AK15" s="184"/>
      <c r="AL15" s="128"/>
      <c r="AM15" s="128"/>
      <c r="AN15" s="128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</row>
    <row r="16" spans="1:53">
      <c r="B16" s="71"/>
      <c r="C16" s="230"/>
      <c r="D16" s="64"/>
      <c r="E16" s="230"/>
      <c r="F16" s="64"/>
      <c r="G16" s="242"/>
      <c r="H16" s="243"/>
      <c r="I16" s="243"/>
      <c r="J16" s="243"/>
      <c r="K16" s="243"/>
      <c r="L16" s="244"/>
      <c r="M16" s="70"/>
      <c r="Y16" s="128"/>
      <c r="Z16" s="128"/>
      <c r="AA16" s="128"/>
      <c r="AB16" s="128"/>
      <c r="AC16" s="128"/>
      <c r="AD16" s="128" t="s">
        <v>112</v>
      </c>
      <c r="AE16" s="128"/>
      <c r="AF16" s="128"/>
      <c r="AG16" s="128"/>
      <c r="AH16" s="187">
        <v>28571</v>
      </c>
      <c r="AI16" s="128">
        <v>65</v>
      </c>
      <c r="AJ16" s="128">
        <v>75</v>
      </c>
      <c r="AK16" s="128"/>
      <c r="AL16" s="128"/>
      <c r="AM16" s="128"/>
      <c r="AN16" s="128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7"/>
    </row>
    <row r="17" spans="2:53" ht="15" thickBot="1">
      <c r="B17" s="71"/>
      <c r="C17" s="231"/>
      <c r="E17" s="231"/>
      <c r="G17" s="245"/>
      <c r="H17" s="246"/>
      <c r="I17" s="246"/>
      <c r="J17" s="246"/>
      <c r="K17" s="246"/>
      <c r="L17" s="247"/>
      <c r="M17" s="70"/>
      <c r="Y17" s="128"/>
      <c r="Z17" s="128"/>
      <c r="AA17" s="128"/>
      <c r="AB17" s="128"/>
      <c r="AC17" s="128"/>
      <c r="AD17" s="128" t="s">
        <v>113</v>
      </c>
      <c r="AE17" s="128"/>
      <c r="AF17" s="128"/>
      <c r="AG17" s="128"/>
      <c r="AH17" s="187">
        <v>20800</v>
      </c>
      <c r="AI17" s="128">
        <v>45</v>
      </c>
      <c r="AJ17" s="128">
        <v>60</v>
      </c>
      <c r="AK17" s="128"/>
      <c r="AL17" s="128"/>
      <c r="AM17" s="128"/>
      <c r="AN17" s="128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</row>
    <row r="18" spans="2:53" ht="15" thickBot="1">
      <c r="B18" s="74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  <c r="Y18" s="128"/>
      <c r="Z18" s="128"/>
      <c r="AA18" s="128"/>
      <c r="AB18" s="128"/>
      <c r="AC18" s="128"/>
      <c r="AD18" s="128" t="s">
        <v>114</v>
      </c>
      <c r="AE18" s="128"/>
      <c r="AF18" s="128"/>
      <c r="AG18" s="128"/>
      <c r="AH18" s="187">
        <v>20800</v>
      </c>
      <c r="AI18" s="128">
        <v>45</v>
      </c>
      <c r="AJ18" s="128">
        <v>60</v>
      </c>
      <c r="AK18" s="128"/>
      <c r="AL18" s="128"/>
      <c r="AM18" s="128"/>
      <c r="AN18" s="128"/>
      <c r="AO18" s="127"/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  <c r="AZ18" s="127"/>
      <c r="BA18" s="127"/>
    </row>
    <row r="19" spans="2:53">
      <c r="Y19" s="128"/>
      <c r="Z19" s="128"/>
      <c r="AA19" s="128"/>
      <c r="AB19" s="128"/>
      <c r="AC19" s="128"/>
      <c r="AD19" s="128" t="s">
        <v>115</v>
      </c>
      <c r="AE19" s="128"/>
      <c r="AF19" s="128"/>
      <c r="AG19" s="128"/>
      <c r="AH19" s="187">
        <v>20800</v>
      </c>
      <c r="AI19" s="128">
        <v>45</v>
      </c>
      <c r="AJ19" s="128">
        <v>60</v>
      </c>
      <c r="AK19" s="128"/>
      <c r="AL19" s="128"/>
      <c r="AM19" s="128"/>
      <c r="AN19" s="128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</row>
    <row r="20" spans="2:53" ht="15" thickBot="1">
      <c r="B20" s="219" t="s">
        <v>27</v>
      </c>
      <c r="C20" s="219"/>
      <c r="D20" s="219"/>
      <c r="E20" s="219"/>
      <c r="F20" s="7"/>
      <c r="G20" s="7"/>
      <c r="H20" s="7"/>
      <c r="I20" s="7"/>
      <c r="J20" s="7"/>
      <c r="K20" s="7"/>
      <c r="L20" s="7"/>
      <c r="M20" s="7"/>
      <c r="Y20" s="128"/>
      <c r="Z20" s="128"/>
      <c r="AA20" s="128"/>
      <c r="AB20" s="128"/>
      <c r="AC20" s="128"/>
      <c r="AD20" s="128" t="s">
        <v>130</v>
      </c>
      <c r="AE20" s="128"/>
      <c r="AF20" s="128"/>
      <c r="AG20" s="128"/>
      <c r="AH20" s="187">
        <v>28571</v>
      </c>
      <c r="AI20" s="128">
        <v>65</v>
      </c>
      <c r="AJ20" s="128">
        <v>75</v>
      </c>
      <c r="AK20" s="128"/>
      <c r="AL20" s="128"/>
      <c r="AM20" s="128"/>
      <c r="AN20" s="128"/>
      <c r="AO20" s="127"/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127"/>
      <c r="BA20" s="127"/>
    </row>
    <row r="21" spans="2:53">
      <c r="B21" s="77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9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7"/>
      <c r="AP21" s="127"/>
      <c r="AQ21" s="127"/>
      <c r="AR21" s="127"/>
      <c r="AS21" s="127"/>
      <c r="AT21" s="127"/>
      <c r="AU21" s="127"/>
      <c r="AV21" s="127"/>
      <c r="AW21" s="127"/>
      <c r="AX21" s="127"/>
      <c r="AY21" s="127"/>
      <c r="AZ21" s="127"/>
      <c r="BA21" s="127"/>
    </row>
    <row r="22" spans="2:53" ht="15">
      <c r="B22" s="80"/>
      <c r="C22" s="236" t="str">
        <f>AC52</f>
        <v>Info: Sie können Ihrem Dokument noch optional 'Anlage' 'Anlagenname' 'Notizen' als Information hinzufügen</v>
      </c>
      <c r="D22" s="236"/>
      <c r="E22" s="236"/>
      <c r="F22" s="236"/>
      <c r="G22" s="236"/>
      <c r="H22" s="236"/>
      <c r="I22" s="236"/>
      <c r="J22" s="236"/>
      <c r="K22" s="236"/>
      <c r="L22" s="236"/>
      <c r="M22" s="81"/>
      <c r="Y22" s="128"/>
      <c r="Z22" s="128"/>
      <c r="AA22" s="128"/>
      <c r="AB22" s="128"/>
      <c r="AC22" s="128"/>
      <c r="AD22" s="222" t="s">
        <v>37</v>
      </c>
      <c r="AE22" s="222"/>
      <c r="AF22" s="222"/>
      <c r="AG22" s="222"/>
      <c r="AH22" s="222"/>
      <c r="AI22" s="128"/>
      <c r="AJ22" s="128"/>
      <c r="AK22" s="128"/>
      <c r="AL22" s="128"/>
      <c r="AM22" s="128"/>
      <c r="AN22" s="128"/>
      <c r="AO22" s="127"/>
      <c r="AP22" s="127"/>
      <c r="AQ22" s="127"/>
      <c r="AR22" s="127"/>
      <c r="AS22" s="127"/>
      <c r="AT22" s="127"/>
      <c r="AU22" s="127"/>
      <c r="AV22" s="127"/>
      <c r="AW22" s="127"/>
      <c r="AX22" s="127"/>
      <c r="AY22" s="127"/>
      <c r="AZ22" s="127"/>
      <c r="BA22" s="127"/>
    </row>
    <row r="23" spans="2:53" ht="15.6" customHeight="1" thickBot="1"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4"/>
      <c r="Y23" s="128"/>
      <c r="Z23" s="128"/>
      <c r="AA23" s="128"/>
      <c r="AB23" s="128"/>
      <c r="AC23" s="128"/>
      <c r="AD23" s="184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7"/>
      <c r="AP23" s="127"/>
      <c r="AQ23" s="127"/>
      <c r="AR23" s="127"/>
      <c r="AS23" s="127"/>
      <c r="AT23" s="127"/>
      <c r="AU23" s="127"/>
      <c r="AV23" s="127"/>
      <c r="AW23" s="127"/>
      <c r="AX23" s="127"/>
      <c r="AY23" s="127"/>
      <c r="AZ23" s="127"/>
      <c r="BA23" s="127"/>
    </row>
    <row r="24" spans="2:53" ht="15">
      <c r="Y24" s="128"/>
      <c r="Z24" s="128"/>
      <c r="AA24" s="218" t="s">
        <v>36</v>
      </c>
      <c r="AB24" s="218"/>
      <c r="AC24" s="218"/>
      <c r="AD24" s="218"/>
      <c r="AE24" s="218"/>
      <c r="AF24" s="218"/>
      <c r="AG24" s="218"/>
      <c r="AH24" s="128"/>
      <c r="AI24" s="128"/>
      <c r="AJ24" s="128"/>
      <c r="AK24" s="128"/>
      <c r="AL24" s="128"/>
      <c r="AM24" s="128"/>
      <c r="AN24" s="128"/>
      <c r="AO24" s="127"/>
      <c r="AP24" s="127"/>
      <c r="AQ24" s="127"/>
      <c r="AR24" s="127"/>
      <c r="AS24" s="127"/>
      <c r="AT24" s="127"/>
      <c r="AU24" s="127"/>
      <c r="AV24" s="127"/>
      <c r="AW24" s="127"/>
      <c r="AX24" s="127"/>
      <c r="AY24" s="127"/>
      <c r="AZ24" s="127"/>
      <c r="BA24" s="127"/>
    </row>
    <row r="25" spans="2:53" ht="18" customHeight="1">
      <c r="B25" s="219" t="s">
        <v>16</v>
      </c>
      <c r="C25" s="219"/>
      <c r="D25" s="219"/>
      <c r="E25" s="219"/>
      <c r="F25" s="7"/>
      <c r="G25" s="7"/>
      <c r="H25" s="7"/>
      <c r="I25" s="7"/>
      <c r="J25" s="7"/>
      <c r="K25" s="220"/>
      <c r="L25" s="220"/>
      <c r="Y25" s="128"/>
      <c r="Z25" s="128"/>
      <c r="AA25" s="128"/>
      <c r="AB25" s="128"/>
      <c r="AC25" s="128"/>
      <c r="AD25" s="128"/>
      <c r="AE25" s="128"/>
      <c r="AF25" s="184"/>
      <c r="AG25" s="184"/>
      <c r="AH25" s="128"/>
      <c r="AI25" s="128"/>
      <c r="AJ25" s="128"/>
      <c r="AK25" s="128"/>
      <c r="AL25" s="128"/>
      <c r="AM25" s="128"/>
      <c r="AN25" s="128"/>
      <c r="AO25" s="127"/>
      <c r="AP25" s="127"/>
      <c r="AQ25" s="127"/>
      <c r="AR25" s="127"/>
      <c r="AS25" s="127"/>
      <c r="AT25" s="127"/>
      <c r="AU25" s="127"/>
      <c r="AV25" s="127"/>
      <c r="AW25" s="127"/>
      <c r="AX25" s="127"/>
      <c r="AY25" s="127"/>
      <c r="AZ25" s="127"/>
      <c r="BA25" s="127"/>
    </row>
    <row r="26" spans="2:53" ht="18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Y26" s="128"/>
      <c r="Z26" s="128"/>
      <c r="AA26" s="186" cm="1">
        <f t="array" ref="AA26">INDEX(AH10:AH20,AD9)</f>
        <v>20800</v>
      </c>
      <c r="AB26" s="186">
        <f>IF(AC9=2,IF(AA26&lt;=12000, 100, IF(AA26&gt;=25000, 300, 200)),"[x]")</f>
        <v>200</v>
      </c>
      <c r="AC26" s="189">
        <f>AA26/L10</f>
        <v>297.14285714285717</v>
      </c>
      <c r="AD26" s="189">
        <f>AC26/SQRT(3)</f>
        <v>171.5555085592031</v>
      </c>
      <c r="AE26" s="190">
        <f>L10</f>
        <v>70</v>
      </c>
      <c r="AF26" s="188" cm="1">
        <f t="array" ref="AF26">INDEX(AI10:AI20,AD9)</f>
        <v>45</v>
      </c>
      <c r="AG26" s="188" cm="1">
        <f t="array" ref="AG26">INDEX(AJ10:AJ20,AD9)</f>
        <v>60</v>
      </c>
      <c r="AH26" s="128"/>
      <c r="AI26" s="128"/>
      <c r="AJ26" s="128"/>
      <c r="AK26" s="128"/>
      <c r="AL26" s="128"/>
      <c r="AM26" s="128"/>
      <c r="AN26" s="128"/>
      <c r="AO26" s="127"/>
      <c r="AP26" s="127"/>
      <c r="AQ26" s="127"/>
      <c r="AR26" s="127"/>
      <c r="AS26" s="127"/>
      <c r="AT26" s="127"/>
      <c r="AU26" s="127"/>
      <c r="AV26" s="127"/>
      <c r="AW26" s="127"/>
      <c r="AX26" s="127"/>
      <c r="AY26" s="127"/>
      <c r="AZ26" s="127"/>
      <c r="BA26" s="127"/>
    </row>
    <row r="27" spans="2:53" ht="20.45" customHeight="1">
      <c r="B27" s="7"/>
      <c r="C27" s="120" t="s">
        <v>79</v>
      </c>
      <c r="D27" s="121"/>
      <c r="E27" s="121"/>
      <c r="F27" s="121"/>
      <c r="G27" s="121"/>
      <c r="H27" s="121"/>
      <c r="I27" s="121"/>
      <c r="J27" s="121"/>
      <c r="K27" s="121"/>
      <c r="L27" s="121"/>
      <c r="Y27" s="128"/>
      <c r="Z27" s="128"/>
      <c r="AA27" s="191" t="s">
        <v>125</v>
      </c>
      <c r="AB27" s="191" t="s">
        <v>39</v>
      </c>
      <c r="AC27" s="225" t="s">
        <v>126</v>
      </c>
      <c r="AD27" s="225" t="s">
        <v>127</v>
      </c>
      <c r="AE27" s="191" t="s">
        <v>55</v>
      </c>
      <c r="AF27" s="237" t="s">
        <v>120</v>
      </c>
      <c r="AG27" s="237" t="s">
        <v>121</v>
      </c>
      <c r="AH27" s="128"/>
      <c r="AI27" s="128"/>
      <c r="AJ27" s="128"/>
      <c r="AK27" s="128"/>
      <c r="AL27" s="128"/>
      <c r="AM27" s="128"/>
      <c r="AN27" s="128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</row>
    <row r="28" spans="2:53" ht="15.75">
      <c r="B28" s="7"/>
      <c r="C28" s="85"/>
      <c r="D28" s="85"/>
      <c r="E28" s="85"/>
      <c r="F28" s="85"/>
      <c r="G28" s="85"/>
      <c r="H28" s="85"/>
      <c r="I28" s="85"/>
      <c r="J28" s="85"/>
      <c r="K28" s="85"/>
      <c r="L28" s="86"/>
      <c r="Y28" s="128"/>
      <c r="Z28" s="128"/>
      <c r="AA28" s="186"/>
      <c r="AB28" s="186"/>
      <c r="AC28" s="225"/>
      <c r="AD28" s="225"/>
      <c r="AE28" s="128"/>
      <c r="AF28" s="237"/>
      <c r="AG28" s="237" t="s">
        <v>119</v>
      </c>
      <c r="AH28" s="128"/>
      <c r="AI28" s="128"/>
      <c r="AJ28" s="128"/>
      <c r="AK28" s="128"/>
      <c r="AL28" s="128"/>
      <c r="AM28" s="128"/>
      <c r="AN28" s="128"/>
      <c r="AO28" s="127"/>
      <c r="AP28" s="127"/>
      <c r="AQ28" s="127"/>
      <c r="AR28" s="127"/>
      <c r="AS28" s="127"/>
      <c r="AT28" s="127"/>
      <c r="AU28" s="127"/>
      <c r="AV28" s="127"/>
      <c r="AW28" s="127"/>
      <c r="AX28" s="127"/>
      <c r="AY28" s="127"/>
      <c r="AZ28" s="127"/>
      <c r="BA28" s="127"/>
    </row>
    <row r="29" spans="2:53" ht="15.6" customHeight="1">
      <c r="B29" s="7"/>
      <c r="C29" s="232" t="str">
        <f>IF(ISNUMBER(SEARCH("Fehler",$C$22)), C22, AA52)</f>
        <v>Der gewählte LVRT-fähige Synchron-Generator befindet sich auf der Spannungsebene der 20kV Tschagguns Schruns Gamprätz. Es wird für die Wandler-Übersetzung in dieser Region standardmäßig 200 angenommen. Die Werte beziehen sich auf die Messspannung von 100V, die Messung erfolgt Mittelspannungsseitig.</v>
      </c>
      <c r="D29" s="232"/>
      <c r="E29" s="232"/>
      <c r="F29" s="232"/>
      <c r="G29" s="232"/>
      <c r="H29" s="232"/>
      <c r="I29" s="232"/>
      <c r="J29" s="232"/>
      <c r="K29" s="232"/>
      <c r="L29" s="232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7"/>
      <c r="AP29" s="127"/>
      <c r="AQ29" s="127"/>
      <c r="AR29" s="127"/>
      <c r="AS29" s="127"/>
      <c r="AT29" s="127"/>
      <c r="AU29" s="127"/>
      <c r="AV29" s="127"/>
      <c r="AW29" s="127"/>
      <c r="AX29" s="127"/>
      <c r="AY29" s="127"/>
      <c r="AZ29" s="127"/>
      <c r="BA29" s="127"/>
    </row>
    <row r="30" spans="2:53" ht="15.6" customHeight="1">
      <c r="B30" s="7"/>
      <c r="C30" s="232"/>
      <c r="D30" s="232"/>
      <c r="E30" s="232"/>
      <c r="F30" s="232"/>
      <c r="G30" s="232"/>
      <c r="H30" s="232"/>
      <c r="I30" s="232"/>
      <c r="J30" s="232"/>
      <c r="K30" s="232"/>
      <c r="L30" s="232"/>
      <c r="Y30" s="128"/>
      <c r="Z30" s="128"/>
      <c r="AA30" s="128"/>
      <c r="AB30" s="188"/>
      <c r="AC30" s="188"/>
      <c r="AD30" s="188"/>
      <c r="AE30" s="188"/>
      <c r="AF30" s="188"/>
      <c r="AG30" s="188"/>
      <c r="AH30" s="128"/>
      <c r="AI30" s="128"/>
      <c r="AJ30" s="128"/>
      <c r="AK30" s="128"/>
      <c r="AX30" s="127"/>
      <c r="AY30" s="127"/>
      <c r="AZ30" s="127"/>
      <c r="BA30" s="127"/>
    </row>
    <row r="31" spans="2:53" ht="15.6" customHeight="1">
      <c r="B31" s="7"/>
      <c r="C31" s="232"/>
      <c r="D31" s="232"/>
      <c r="E31" s="232"/>
      <c r="F31" s="232"/>
      <c r="G31" s="232"/>
      <c r="H31" s="232"/>
      <c r="I31" s="232"/>
      <c r="J31" s="232"/>
      <c r="K31" s="232"/>
      <c r="L31" s="232"/>
      <c r="Y31" s="128"/>
      <c r="Z31" s="128"/>
      <c r="AA31" s="217" t="s">
        <v>42</v>
      </c>
      <c r="AB31" s="217"/>
      <c r="AC31" s="217"/>
      <c r="AD31" s="217"/>
      <c r="AE31" s="217"/>
      <c r="AF31" s="217"/>
      <c r="AG31" s="217"/>
      <c r="AH31" s="217"/>
      <c r="AI31" s="217"/>
      <c r="AJ31" s="217"/>
      <c r="AK31" s="217"/>
      <c r="AX31" s="127"/>
      <c r="AY31" s="127"/>
      <c r="AZ31" s="127"/>
      <c r="BA31" s="127"/>
    </row>
    <row r="32" spans="2:53" ht="20.100000000000001" customHeight="1">
      <c r="B32" s="7"/>
      <c r="C32" s="232"/>
      <c r="D32" s="232"/>
      <c r="E32" s="232"/>
      <c r="F32" s="232"/>
      <c r="G32" s="232"/>
      <c r="H32" s="232"/>
      <c r="I32" s="232"/>
      <c r="J32" s="232"/>
      <c r="K32" s="232"/>
      <c r="L32" s="232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X32" s="127"/>
      <c r="AY32" s="127"/>
      <c r="AZ32" s="127"/>
      <c r="BA32" s="127"/>
    </row>
    <row r="33" spans="2:53" ht="15.6" customHeight="1">
      <c r="B33" s="7"/>
      <c r="K33" s="85"/>
      <c r="L33" s="86"/>
      <c r="Y33" s="128"/>
      <c r="Z33" s="128"/>
      <c r="AA33" s="222" t="s">
        <v>45</v>
      </c>
      <c r="AB33" s="222"/>
      <c r="AC33" s="192" t="s">
        <v>43</v>
      </c>
      <c r="AD33" s="192" t="s">
        <v>44</v>
      </c>
      <c r="AE33" s="192" t="s">
        <v>53</v>
      </c>
      <c r="AF33" s="223" t="s">
        <v>54</v>
      </c>
      <c r="AG33" s="223"/>
      <c r="AH33" s="224" t="s">
        <v>128</v>
      </c>
      <c r="AI33" s="224"/>
      <c r="AJ33" s="224" t="s">
        <v>129</v>
      </c>
      <c r="AK33" s="224"/>
      <c r="AX33" s="127"/>
      <c r="AY33" s="127"/>
      <c r="AZ33" s="127"/>
      <c r="BA33" s="127"/>
    </row>
    <row r="34" spans="2:53" ht="20.100000000000001" customHeight="1">
      <c r="B34" s="7"/>
      <c r="C34" s="87" t="s">
        <v>84</v>
      </c>
      <c r="D34" s="88"/>
      <c r="E34" s="215" t="str">
        <f>IF(C15&lt;&gt;"", C15, "nicht spezifiziert")</f>
        <v>nicht spezifiziert</v>
      </c>
      <c r="F34" s="215"/>
      <c r="G34" s="215"/>
      <c r="H34" s="215"/>
      <c r="I34" s="215"/>
      <c r="J34" s="215"/>
      <c r="K34" s="85"/>
      <c r="L34" s="86"/>
      <c r="Y34" s="128"/>
      <c r="Z34" s="128"/>
      <c r="AA34" s="226"/>
      <c r="AB34" s="226"/>
      <c r="AC34" s="128"/>
      <c r="AD34" s="128"/>
      <c r="AE34" s="128"/>
      <c r="AF34" s="128"/>
      <c r="AG34" s="128"/>
      <c r="AH34" s="193"/>
      <c r="AI34" s="128"/>
      <c r="AJ34" s="128"/>
      <c r="AK34" s="128"/>
      <c r="AX34" s="127"/>
      <c r="AY34" s="127"/>
      <c r="AZ34" s="127"/>
      <c r="BA34" s="127"/>
    </row>
    <row r="35" spans="2:53" ht="20.100000000000001" customHeight="1">
      <c r="B35" s="7"/>
      <c r="C35" s="87" t="s">
        <v>101</v>
      </c>
      <c r="D35" s="88"/>
      <c r="E35" s="208" t="str">
        <f>IF(E15&lt;&gt;"", E15, "nicht spezifiziert")</f>
        <v>nicht spezifiziert</v>
      </c>
      <c r="F35" s="208"/>
      <c r="G35" s="208"/>
      <c r="H35" s="208"/>
      <c r="I35" s="208"/>
      <c r="J35" s="208"/>
      <c r="K35" s="85"/>
      <c r="L35" s="86"/>
      <c r="Y35" s="128"/>
      <c r="Z35" s="128"/>
      <c r="AA35" s="226" t="s">
        <v>47</v>
      </c>
      <c r="AB35" s="226"/>
      <c r="AC35" s="184">
        <v>1.07</v>
      </c>
      <c r="AD35" s="184"/>
      <c r="AE35" s="194">
        <v>60</v>
      </c>
      <c r="AF35" s="228">
        <f>$AA$26*AC35</f>
        <v>22256</v>
      </c>
      <c r="AG35" s="228"/>
      <c r="AH35" s="227">
        <f t="shared" ref="AH35:AH42" si="0">AF35/$AE$26</f>
        <v>317.94285714285712</v>
      </c>
      <c r="AI35" s="227"/>
      <c r="AJ35" s="227">
        <f>AH35/SQRT(3)</f>
        <v>183.56439415834731</v>
      </c>
      <c r="AK35" s="227"/>
      <c r="AX35" s="127"/>
      <c r="AY35" s="127"/>
      <c r="AZ35" s="127"/>
      <c r="BA35" s="127"/>
    </row>
    <row r="36" spans="2:53">
      <c r="B36" s="7"/>
      <c r="Y36" s="128"/>
      <c r="Z36" s="128"/>
      <c r="AA36" s="226"/>
      <c r="AB36" s="226"/>
      <c r="AC36" s="184"/>
      <c r="AD36" s="184">
        <v>1.06</v>
      </c>
      <c r="AE36" s="184"/>
      <c r="AF36" s="228">
        <f>$AA$26*AD36</f>
        <v>22048</v>
      </c>
      <c r="AG36" s="228"/>
      <c r="AH36" s="227">
        <f t="shared" si="0"/>
        <v>314.97142857142859</v>
      </c>
      <c r="AI36" s="227"/>
      <c r="AJ36" s="227">
        <f t="shared" ref="AJ36:AJ42" si="1">AH36/SQRT(3)</f>
        <v>181.84883907275528</v>
      </c>
      <c r="AK36" s="227"/>
      <c r="AX36" s="127"/>
      <c r="AY36" s="127"/>
      <c r="AZ36" s="127"/>
      <c r="BA36" s="127"/>
    </row>
    <row r="37" spans="2:53">
      <c r="B37" s="7"/>
      <c r="Y37" s="128"/>
      <c r="Z37" s="128"/>
      <c r="AA37" s="226" t="s">
        <v>48</v>
      </c>
      <c r="AB37" s="226"/>
      <c r="AC37" s="184">
        <v>1.1000000000000001</v>
      </c>
      <c r="AD37" s="184"/>
      <c r="AE37" s="184">
        <v>0.1</v>
      </c>
      <c r="AF37" s="228">
        <f>$AA$26*AC37</f>
        <v>22880.000000000004</v>
      </c>
      <c r="AG37" s="228"/>
      <c r="AH37" s="227">
        <f t="shared" si="0"/>
        <v>326.85714285714289</v>
      </c>
      <c r="AI37" s="227"/>
      <c r="AJ37" s="227">
        <f t="shared" si="1"/>
        <v>188.71105941512343</v>
      </c>
      <c r="AK37" s="227"/>
      <c r="AX37" s="127"/>
      <c r="AY37" s="127"/>
      <c r="AZ37" s="127"/>
      <c r="BA37" s="127"/>
    </row>
    <row r="38" spans="2:53" ht="20.25">
      <c r="C38" s="209" t="s">
        <v>77</v>
      </c>
      <c r="D38" s="209"/>
      <c r="E38" s="209"/>
      <c r="F38" s="209"/>
      <c r="G38" s="209"/>
      <c r="H38" s="209"/>
      <c r="I38" s="209"/>
      <c r="J38" s="209"/>
      <c r="K38" s="209"/>
      <c r="L38" s="209"/>
      <c r="Y38" s="128"/>
      <c r="Z38" s="128"/>
      <c r="AA38" s="226"/>
      <c r="AB38" s="226"/>
      <c r="AC38" s="184"/>
      <c r="AD38" s="184">
        <v>1.06</v>
      </c>
      <c r="AE38" s="184"/>
      <c r="AF38" s="228">
        <f>$AA$26*AD36</f>
        <v>22048</v>
      </c>
      <c r="AG38" s="228"/>
      <c r="AH38" s="227">
        <f t="shared" si="0"/>
        <v>314.97142857142859</v>
      </c>
      <c r="AI38" s="227"/>
      <c r="AJ38" s="227">
        <f t="shared" si="1"/>
        <v>181.84883907275528</v>
      </c>
      <c r="AK38" s="227"/>
      <c r="AX38" s="127"/>
      <c r="AY38" s="127"/>
      <c r="AZ38" s="127"/>
      <c r="BA38" s="127"/>
    </row>
    <row r="39" spans="2:53" ht="15.75">
      <c r="C39" s="85"/>
      <c r="D39" s="85"/>
      <c r="E39" s="85"/>
      <c r="F39" s="85"/>
      <c r="G39" s="85"/>
      <c r="H39" s="85"/>
      <c r="I39" s="85"/>
      <c r="J39" s="85"/>
      <c r="K39" s="85"/>
      <c r="L39" s="86"/>
      <c r="Y39" s="128"/>
      <c r="Z39" s="128"/>
      <c r="AA39" s="226" t="s">
        <v>46</v>
      </c>
      <c r="AB39" s="226"/>
      <c r="AC39" s="184">
        <f>IF(AA9=1, 0.7, 0.8)</f>
        <v>0.7</v>
      </c>
      <c r="AD39" s="184"/>
      <c r="AE39" s="184">
        <f>IF(AB9=2, 0.1, IF(AA9=1, 1, 1.5))</f>
        <v>1</v>
      </c>
      <c r="AF39" s="228">
        <f>$AA$26*AC39</f>
        <v>14559.999999999998</v>
      </c>
      <c r="AG39" s="228"/>
      <c r="AH39" s="227">
        <f t="shared" si="0"/>
        <v>207.99999999999997</v>
      </c>
      <c r="AI39" s="227"/>
      <c r="AJ39" s="227">
        <f t="shared" si="1"/>
        <v>120.08885599144214</v>
      </c>
      <c r="AK39" s="227"/>
      <c r="AX39" s="127"/>
      <c r="AY39" s="127"/>
      <c r="AZ39" s="127"/>
      <c r="BA39" s="127"/>
    </row>
    <row r="40" spans="2:53" ht="15">
      <c r="C40" s="122" t="s">
        <v>35</v>
      </c>
      <c r="D40" s="122"/>
      <c r="E40" s="210" t="s">
        <v>56</v>
      </c>
      <c r="F40" s="210"/>
      <c r="G40" s="210"/>
      <c r="H40" s="122"/>
      <c r="I40" s="122" t="s">
        <v>71</v>
      </c>
      <c r="J40" s="122" t="s">
        <v>106</v>
      </c>
      <c r="K40" s="210" t="s">
        <v>105</v>
      </c>
      <c r="L40" s="210"/>
      <c r="Y40" s="128"/>
      <c r="Z40" s="128"/>
      <c r="AA40" s="226"/>
      <c r="AB40" s="226"/>
      <c r="AC40" s="184"/>
      <c r="AD40" s="184">
        <v>0.9</v>
      </c>
      <c r="AE40" s="184"/>
      <c r="AF40" s="228">
        <f>$AA$26*AD40</f>
        <v>18720</v>
      </c>
      <c r="AG40" s="228"/>
      <c r="AH40" s="227">
        <f t="shared" si="0"/>
        <v>267.42857142857144</v>
      </c>
      <c r="AI40" s="227"/>
      <c r="AJ40" s="227">
        <f t="shared" si="1"/>
        <v>154.39995770328278</v>
      </c>
      <c r="AK40" s="227"/>
      <c r="AX40" s="127"/>
      <c r="AY40" s="127"/>
      <c r="AZ40" s="127"/>
      <c r="BA40" s="127"/>
    </row>
    <row r="41" spans="2:53" ht="15.6" customHeight="1">
      <c r="C41" s="10"/>
      <c r="D41" s="89"/>
      <c r="E41" s="89"/>
      <c r="F41" s="89"/>
      <c r="G41" s="89"/>
      <c r="H41" s="89"/>
      <c r="I41" s="89"/>
      <c r="J41" s="89"/>
      <c r="K41" s="89"/>
      <c r="L41" s="10"/>
      <c r="Y41" s="128"/>
      <c r="Z41" s="128"/>
      <c r="AA41" s="226" t="s">
        <v>49</v>
      </c>
      <c r="AB41" s="226"/>
      <c r="AC41" s="184">
        <v>0.3</v>
      </c>
      <c r="AD41" s="184"/>
      <c r="AE41" s="184">
        <f>IF(AB9=2, "Entfällt", IF(AA9=1, 0.2, 0.5))</f>
        <v>0.2</v>
      </c>
      <c r="AF41" s="228">
        <f>$AA$26*AC41</f>
        <v>6240</v>
      </c>
      <c r="AG41" s="228"/>
      <c r="AH41" s="227">
        <f t="shared" si="0"/>
        <v>89.142857142857139</v>
      </c>
      <c r="AI41" s="227"/>
      <c r="AJ41" s="227">
        <f t="shared" si="1"/>
        <v>51.466652567760924</v>
      </c>
      <c r="AK41" s="227"/>
      <c r="AX41" s="127"/>
      <c r="AY41" s="127"/>
      <c r="AZ41" s="127"/>
      <c r="BA41" s="127"/>
    </row>
    <row r="42" spans="2:53" ht="15">
      <c r="C42" s="90" t="s">
        <v>57</v>
      </c>
      <c r="D42" s="90"/>
      <c r="E42" s="91" t="s">
        <v>61</v>
      </c>
      <c r="F42" s="91"/>
      <c r="G42" s="91"/>
      <c r="H42" s="92"/>
      <c r="I42" s="116">
        <f>IF(ISNUMBER(SEARCH("Fehler",$C$22)), "", ROUND(IF($AC$9=1,AJ35/IF(AC9=1, 230, 100),(AF35/AB26)/IF(AC9=1, 230, 100)), 3))</f>
        <v>1.113</v>
      </c>
      <c r="J42" s="94">
        <f>IF(ISNUMBER(SEARCH("Fehler",$C$22)), "", AE35)</f>
        <v>60</v>
      </c>
      <c r="K42" s="212">
        <f>IF(ISNUMBER(SEARCH("Fehler",$C$22)), "", IF($AC$9=1,AJ35,AF35/AB26))</f>
        <v>111.28</v>
      </c>
      <c r="L42" s="212"/>
      <c r="Y42" s="128"/>
      <c r="Z42" s="128"/>
      <c r="AA42" s="128"/>
      <c r="AB42" s="128"/>
      <c r="AC42" s="184"/>
      <c r="AD42" s="184">
        <v>0.9</v>
      </c>
      <c r="AE42" s="184"/>
      <c r="AF42" s="228">
        <f>$AA$26*AD42</f>
        <v>18720</v>
      </c>
      <c r="AG42" s="228"/>
      <c r="AH42" s="227">
        <f t="shared" si="0"/>
        <v>267.42857142857144</v>
      </c>
      <c r="AI42" s="227"/>
      <c r="AJ42" s="227">
        <f t="shared" si="1"/>
        <v>154.39995770328278</v>
      </c>
      <c r="AK42" s="227"/>
      <c r="AX42" s="127"/>
      <c r="AY42" s="127"/>
      <c r="AZ42" s="127"/>
      <c r="BA42" s="127"/>
    </row>
    <row r="43" spans="2:53" ht="15">
      <c r="C43" s="95" t="s">
        <v>47</v>
      </c>
      <c r="D43" s="95"/>
      <c r="E43" s="91" t="s">
        <v>62</v>
      </c>
      <c r="F43" s="91"/>
      <c r="G43" s="91"/>
      <c r="H43" s="92"/>
      <c r="I43" s="116">
        <f>IF(ISNUMBER(SEARCH("Fehler",$C$22)), "", ROUND((I42-0.01), 3))</f>
        <v>1.103</v>
      </c>
      <c r="J43" s="96" t="str">
        <f>IF(ISNUMBER(SEARCH("Fehler",$C$22)), "", "oder 10 min Mittelwert")</f>
        <v>oder 10 min Mittelwert</v>
      </c>
      <c r="K43" s="92"/>
      <c r="L43" s="93"/>
      <c r="Y43" s="128"/>
      <c r="Z43" s="128"/>
      <c r="AA43" s="226" t="s">
        <v>50</v>
      </c>
      <c r="AB43" s="226"/>
      <c r="AC43" s="184">
        <v>51.5</v>
      </c>
      <c r="AD43" s="184"/>
      <c r="AE43" s="184">
        <v>0.1</v>
      </c>
      <c r="AF43" s="184"/>
      <c r="AG43" s="184"/>
      <c r="AH43" s="184"/>
      <c r="AI43" s="184"/>
      <c r="AJ43" s="184"/>
      <c r="AK43" s="184"/>
      <c r="AX43" s="127"/>
      <c r="AY43" s="127"/>
      <c r="AZ43" s="127"/>
      <c r="BA43" s="127"/>
    </row>
    <row r="44" spans="2:53" ht="14.1" customHeight="1">
      <c r="C44" s="97"/>
      <c r="D44" s="97"/>
      <c r="E44" s="97"/>
      <c r="F44" s="97"/>
      <c r="G44" s="98"/>
      <c r="H44" s="10"/>
      <c r="I44" s="113"/>
      <c r="J44" s="100"/>
      <c r="K44" s="10"/>
      <c r="L44" s="99"/>
      <c r="Y44" s="128"/>
      <c r="Z44" s="128"/>
      <c r="AA44" s="128"/>
      <c r="AB44" s="128"/>
      <c r="AC44" s="184"/>
      <c r="AD44" s="184">
        <v>50.1</v>
      </c>
      <c r="AE44" s="184"/>
      <c r="AF44" s="184"/>
      <c r="AG44" s="184"/>
      <c r="AH44" s="184"/>
      <c r="AI44" s="184"/>
      <c r="AJ44" s="184"/>
      <c r="AK44" s="184"/>
      <c r="AX44" s="127"/>
      <c r="AY44" s="127"/>
      <c r="AZ44" s="127"/>
      <c r="BA44" s="127"/>
    </row>
    <row r="45" spans="2:53" ht="14.1" customHeight="1">
      <c r="C45" s="101" t="s">
        <v>58</v>
      </c>
      <c r="D45" s="101"/>
      <c r="E45" s="102" t="s">
        <v>61</v>
      </c>
      <c r="F45" s="102"/>
      <c r="G45" s="102"/>
      <c r="H45" s="103"/>
      <c r="I45" s="103">
        <f>IF(ISNUMBER(SEARCH("Fehler",$C$22)), "", ROUND(IF($AC$9=1,AJ37/IF(AC9=1, 230, 100),(AF37/AB26)/IF(AC9=1, 230, 100)), 3))</f>
        <v>1.1439999999999999</v>
      </c>
      <c r="J45" s="104">
        <f>IF(ISNUMBER(SEARCH("Fehler",$C$22)), "", AE37)</f>
        <v>0.1</v>
      </c>
      <c r="K45" s="216">
        <f>IF(ISNUMBER(SEARCH("Fehler",$C$22)), "", IF($AC$9=1,AJ37,AF37/AB26))</f>
        <v>114.40000000000002</v>
      </c>
      <c r="L45" s="216"/>
      <c r="Y45" s="128"/>
      <c r="Z45" s="128"/>
      <c r="AA45" s="226" t="s">
        <v>51</v>
      </c>
      <c r="AB45" s="226"/>
      <c r="AC45" s="184">
        <v>47.5</v>
      </c>
      <c r="AD45" s="128"/>
      <c r="AE45" s="184">
        <v>0.1</v>
      </c>
      <c r="AF45" s="184"/>
      <c r="AG45" s="184"/>
      <c r="AH45" s="184"/>
      <c r="AI45" s="184"/>
      <c r="AJ45" s="184"/>
      <c r="AK45" s="184"/>
      <c r="AX45" s="127"/>
      <c r="AY45" s="127"/>
      <c r="AZ45" s="127"/>
      <c r="BA45" s="127"/>
    </row>
    <row r="46" spans="2:53" ht="15">
      <c r="C46" s="105" t="s">
        <v>48</v>
      </c>
      <c r="D46" s="105"/>
      <c r="E46" s="102" t="s">
        <v>62</v>
      </c>
      <c r="F46" s="102"/>
      <c r="G46" s="102"/>
      <c r="H46" s="103"/>
      <c r="I46" s="103">
        <f>IF(ISNUMBER(SEARCH("Fehler",$C$22)), "", ROUND(I43, 3))</f>
        <v>1.103</v>
      </c>
      <c r="J46" s="100"/>
      <c r="K46" s="89"/>
      <c r="L46" s="99"/>
      <c r="Y46" s="128"/>
      <c r="Z46" s="128"/>
      <c r="AA46" s="128"/>
      <c r="AB46" s="128"/>
      <c r="AC46" s="128"/>
      <c r="AD46" s="184">
        <v>47.512999999999998</v>
      </c>
      <c r="AE46" s="184"/>
      <c r="AF46" s="184"/>
      <c r="AG46" s="184"/>
      <c r="AH46" s="184"/>
      <c r="AI46" s="184"/>
      <c r="AJ46" s="184"/>
      <c r="AK46" s="184"/>
      <c r="AX46" s="127"/>
      <c r="AY46" s="127"/>
      <c r="AZ46" s="127"/>
      <c r="BA46" s="127"/>
    </row>
    <row r="47" spans="2:53" ht="15">
      <c r="C47" s="97"/>
      <c r="D47" s="97"/>
      <c r="E47" s="97"/>
      <c r="F47" s="97"/>
      <c r="G47" s="98"/>
      <c r="H47" s="106"/>
      <c r="I47" s="103"/>
      <c r="J47" s="100"/>
      <c r="K47" s="10"/>
      <c r="L47" s="99"/>
      <c r="Y47" s="128"/>
      <c r="Z47" s="128"/>
      <c r="AA47" s="128"/>
      <c r="AB47" s="128"/>
      <c r="AC47" s="128"/>
      <c r="AD47" s="128"/>
      <c r="AE47" s="128"/>
      <c r="AF47" s="128"/>
      <c r="AG47" s="128"/>
      <c r="AH47" s="128"/>
      <c r="AI47" s="128"/>
      <c r="AJ47" s="128"/>
      <c r="AK47" s="128"/>
      <c r="AX47" s="127"/>
      <c r="AY47" s="127"/>
      <c r="AZ47" s="127"/>
      <c r="BA47" s="127"/>
    </row>
    <row r="48" spans="2:53" ht="15">
      <c r="C48" s="90" t="s">
        <v>59</v>
      </c>
      <c r="D48" s="90"/>
      <c r="E48" s="91" t="s">
        <v>61</v>
      </c>
      <c r="F48" s="91"/>
      <c r="G48" s="91"/>
      <c r="H48" s="107"/>
      <c r="I48" s="116">
        <f>IF(ISNUMBER(SEARCH("Fehler",$C$22)), "", ROUND(IF($AC$9=1,AJ39/IF(AC9=1, 230, 100),(AF39/AB26)/IF(AC9=1, 230, 100)), 3))</f>
        <v>0.72799999999999998</v>
      </c>
      <c r="J48" s="108">
        <f>IF(ISNUMBER(SEARCH("Fehler",$C$22)), "", AE39)</f>
        <v>1</v>
      </c>
      <c r="K48" s="212">
        <f>IF(ISNUMBER(SEARCH("Fehler",$C$22)), "", IF($AC$9=1,AJ39,AF39/AB26))</f>
        <v>72.8</v>
      </c>
      <c r="L48" s="212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X48" s="127"/>
      <c r="AY48" s="127"/>
      <c r="AZ48" s="127"/>
      <c r="BA48" s="127"/>
    </row>
    <row r="49" spans="3:53" ht="15">
      <c r="C49" s="95" t="s">
        <v>46</v>
      </c>
      <c r="D49" s="95"/>
      <c r="E49" s="91" t="s">
        <v>62</v>
      </c>
      <c r="F49" s="91"/>
      <c r="G49" s="91"/>
      <c r="H49" s="107"/>
      <c r="I49" s="116">
        <f>IF(ISNUMBER(SEARCH("Fehler",$C$22)), "", ROUND(AD40, 3))</f>
        <v>0.9</v>
      </c>
      <c r="J49" s="109"/>
      <c r="K49" s="107"/>
      <c r="L49" s="93"/>
      <c r="Y49" s="128"/>
      <c r="Z49" s="128"/>
      <c r="AA49" s="128"/>
      <c r="AB49" s="128"/>
      <c r="AC49" s="128"/>
      <c r="AD49" s="128"/>
      <c r="AE49" s="128"/>
      <c r="AF49" s="128"/>
      <c r="AG49" s="128"/>
      <c r="AH49" s="128"/>
      <c r="AI49" s="128"/>
      <c r="AJ49" s="128"/>
      <c r="AK49" s="128"/>
      <c r="AX49" s="127"/>
      <c r="AY49" s="127"/>
      <c r="AZ49" s="127"/>
      <c r="BA49" s="127"/>
    </row>
    <row r="50" spans="3:53" ht="15.6" customHeight="1">
      <c r="C50" s="97"/>
      <c r="D50" s="97"/>
      <c r="E50" s="97"/>
      <c r="F50" s="97"/>
      <c r="G50" s="98"/>
      <c r="H50" s="10"/>
      <c r="I50" s="113"/>
      <c r="J50" s="100"/>
      <c r="K50" s="10"/>
      <c r="L50" s="99"/>
      <c r="Y50" s="128"/>
      <c r="Z50" s="128"/>
      <c r="AA50" s="217" t="s">
        <v>52</v>
      </c>
      <c r="AB50" s="217"/>
      <c r="AC50" s="217"/>
      <c r="AD50" s="217"/>
      <c r="AE50" s="217"/>
      <c r="AF50" s="217"/>
      <c r="AG50" s="217"/>
      <c r="AH50" s="128"/>
      <c r="AI50" s="128"/>
      <c r="AJ50" s="128"/>
      <c r="AK50" s="128"/>
      <c r="AX50" s="127"/>
      <c r="AY50" s="127"/>
      <c r="AZ50" s="127"/>
      <c r="BA50" s="127"/>
    </row>
    <row r="51" spans="3:53" ht="15.6" customHeight="1">
      <c r="C51" s="101" t="s">
        <v>60</v>
      </c>
      <c r="D51" s="101"/>
      <c r="E51" s="102" t="str">
        <f>IF(AB9&lt;&gt;1,"Stufe entfällt (keine LVRT-Fähigkeit)","Auslösung")</f>
        <v>Auslösung</v>
      </c>
      <c r="F51" s="102"/>
      <c r="G51" s="102"/>
      <c r="H51" s="10"/>
      <c r="I51" s="113">
        <f>IF(AB9&lt;&gt;1,"",IF(ISNUMBER(SEARCH("Fehler",$C$22)), "", ROUND(IF($AC$9=1,AJ41/IF(AC9=1, 230, 100),(AF41/AB26)/IF(AC9=1, 230, 100)), 3)))</f>
        <v>0.312</v>
      </c>
      <c r="J51" s="104">
        <f>IF(AB9&lt;&gt;1,"",IF(ISNUMBER(SEARCH("Fehler",$C$22)), "", AE41))</f>
        <v>0.2</v>
      </c>
      <c r="K51" s="216">
        <f>IF(AB9&lt;&gt;1,"",IF(ISNUMBER(SEARCH("Fehler",$C$22)), "", IF($AC$9=1,AJ41,AF41/AB26)))</f>
        <v>31.2</v>
      </c>
      <c r="L51" s="216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X51" s="127"/>
      <c r="AY51" s="127"/>
      <c r="AZ51" s="127"/>
      <c r="BA51" s="127"/>
    </row>
    <row r="52" spans="3:53" ht="15.6" customHeight="1">
      <c r="C52" s="105" t="s">
        <v>49</v>
      </c>
      <c r="D52" s="105"/>
      <c r="E52" s="102" t="str">
        <f>IF(AB9&lt;&gt;1,"","Wiederzuschaltbedingung")</f>
        <v>Wiederzuschaltbedingung</v>
      </c>
      <c r="F52" s="102"/>
      <c r="G52" s="102"/>
      <c r="H52" s="10"/>
      <c r="I52" s="113">
        <f>IF(AB9&lt;&gt;1,"",IF(ISNUMBER(SEARCH("Fehler",$C$22)), "", ROUND(AD42, 3)))</f>
        <v>0.9</v>
      </c>
      <c r="J52" s="100"/>
      <c r="K52" s="213" t="str">
        <f>IF(ISNUMBER(SEARCH("Fehler",$C$22)), "", IF(AC9=1, "Spannungswerte für Sternleiterspannung L - N","Spannungswerte für Außenleiterspannung L - L"))</f>
        <v>Spannungswerte für Außenleiterspannung L - L</v>
      </c>
      <c r="L52" s="213"/>
      <c r="Y52" s="128"/>
      <c r="Z52" s="128" t="s">
        <v>90</v>
      </c>
      <c r="AA52" s="128" t="str">
        <f>_xlfn.CONCAT(IF(AA9&lt;&gt;3, "Der gewählte ", "Die gewählte "), IF(AB9=1, "LVRT-fähige ", "NICHT LVRT-fähige "), IF(AA9&lt;&gt;3, _xlfn.CONCAT(AB52, "-Generator"), _xlfn.CONCAT(AB52, "-Anlage")), IF(AB9=2, " (ACHTUNG: LVRT-Fähigkeit muss bei Anlagen ab Inbetriebnahmedatum 01.01.2021 ausgeführt sein!)",""), " befindet sich auf der Spannungsebene der ",INDEX(AD10:AD20, AD9), ". ", IF(AC9 = 1, _xlfn.CONCAT("Die Trafo-Übersetzung beträgt ", L10), _xlfn.CONCAT("Es wird für die Wandler-Übersetzung in dieser Region standardmäßig ", AB26, " angenommen")), ". ", "Die Werte beziehen sich auf die Messspannung von ", IF(AC9 = 1, "230V", "100V"), ", die Messung erfolgt ", IF(AC9=1, "Niederspannungsseitig", "Mittelspannungsseitig"), ".")</f>
        <v>Der gewählte LVRT-fähige Synchron-Generator befindet sich auf der Spannungsebene der 20kV Tschagguns Schruns Gamprätz. Es wird für die Wandler-Übersetzung in dieser Region standardmäßig 200 angenommen. Die Werte beziehen sich auf die Messspannung von 100V, die Messung erfolgt Mittelspannungsseitig.</v>
      </c>
      <c r="AB52" s="184" t="str" cm="1">
        <f t="array" ref="AB52">_xlfn.SWITCH(AA9, 1, AA10, 2, AA11, 3, AA12)</f>
        <v>Synchron</v>
      </c>
      <c r="AC52" s="184" t="str">
        <f>IF(IFERROR(AA52,1)="","Fehler: Berechnung versagt",IF(AA9="","Fehler: Bitte Generatortype wählen",IF(AB9="","Fehler: Bitte LVRT-Fähigkeit wählen",IF(AC9="","Fehler: Bitte Messspannung wählen",IF(AD9="","Fehler: Bitte Region wählen",IF(AND(NOT(ISNUMBER(L10)),AC9=1),"Fehler: Bitte Transformator-Übersetzung wählen",IF(AND(AC9=1,OR(L10&lt;AF26,L10&gt;AG26)),"ACHTUNG! Ungültiger Wert in der Trafoübersetzung",IF(AB9=2,"ACHTUNG! LVRT-Fähigkeit wurde auf NEIN gestellt!",IF(OR(C15="",E15="",G15=""),_xlfn.CONCAT("Info: Sie können Ihrem Dokument noch optional ",IF(C15="","'Anlage' ",""),IF(E15="","'Anlagenname' ",""),IF(G15="","'Notizen' ",""),"als Information hinzufügen"),IF(AH26="","Alles in Ordnung",AH26))))))))))</f>
        <v>Info: Sie können Ihrem Dokument noch optional 'Anlage' 'Anlagenname' 'Notizen' als Information hinzufügen</v>
      </c>
      <c r="AD52" s="184"/>
      <c r="AE52" s="128" t="e" vm="1">
        <v>#VALUE!</v>
      </c>
      <c r="AF52" s="128"/>
      <c r="AG52" s="128"/>
      <c r="AH52" s="128"/>
      <c r="AI52" s="128"/>
      <c r="AJ52" s="128"/>
      <c r="AK52" s="128"/>
      <c r="AX52" s="127"/>
      <c r="AY52" s="127"/>
      <c r="AZ52" s="127"/>
      <c r="BA52" s="127"/>
    </row>
    <row r="53" spans="3:53" ht="15">
      <c r="C53" s="10"/>
      <c r="D53" s="10"/>
      <c r="E53" s="98"/>
      <c r="F53" s="98"/>
      <c r="G53" s="98"/>
      <c r="H53" s="10"/>
      <c r="I53" s="110"/>
      <c r="J53" s="10"/>
      <c r="K53" s="213"/>
      <c r="L53" s="213"/>
      <c r="Y53" s="128"/>
      <c r="Z53" s="128"/>
      <c r="AA53" s="128"/>
      <c r="AB53" s="184"/>
      <c r="AC53" s="184"/>
      <c r="AD53" s="184"/>
      <c r="AE53" s="128"/>
      <c r="AF53" s="128"/>
      <c r="AG53" s="128"/>
      <c r="AH53" s="128"/>
      <c r="AI53" s="128"/>
      <c r="AJ53" s="128"/>
      <c r="AK53" s="128"/>
      <c r="AX53" s="127"/>
      <c r="AY53" s="127"/>
      <c r="AZ53" s="127"/>
      <c r="BA53" s="127"/>
    </row>
    <row r="54" spans="3:53" ht="15">
      <c r="Y54" s="128"/>
      <c r="Z54" s="128"/>
      <c r="AA54" s="130" t="s">
        <v>33</v>
      </c>
      <c r="AB54" s="188" t="s">
        <v>32</v>
      </c>
      <c r="AC54" s="188" t="s">
        <v>34</v>
      </c>
      <c r="AD54" s="188"/>
      <c r="AE54" s="128" t="e" vm="2">
        <v>#VALUE!</v>
      </c>
      <c r="AF54" s="128"/>
      <c r="AG54" s="128"/>
      <c r="AH54" s="128"/>
      <c r="AI54" s="128"/>
      <c r="AJ54" s="128"/>
      <c r="AK54" s="128"/>
      <c r="AX54" s="127"/>
      <c r="AY54" s="127"/>
      <c r="AZ54" s="127"/>
      <c r="BA54" s="127"/>
    </row>
    <row r="55" spans="3:53" ht="20.45" customHeight="1" thickBot="1">
      <c r="C55" s="205" t="s">
        <v>70</v>
      </c>
      <c r="D55" s="205"/>
      <c r="E55" s="205"/>
      <c r="F55" s="205"/>
      <c r="G55" s="205"/>
      <c r="H55" s="205"/>
      <c r="I55" s="205"/>
      <c r="J55" s="205"/>
      <c r="K55" s="205"/>
      <c r="L55" s="205"/>
      <c r="Y55" s="128"/>
      <c r="Z55" s="128"/>
      <c r="AA55" s="128"/>
      <c r="AB55" s="128"/>
      <c r="AC55" s="128"/>
      <c r="AD55" s="128"/>
      <c r="AE55" s="128"/>
      <c r="AF55" s="128"/>
      <c r="AG55" s="128"/>
      <c r="AH55" s="128"/>
      <c r="AI55" s="128"/>
      <c r="AJ55" s="128"/>
      <c r="AK55" s="128"/>
      <c r="AX55" s="127"/>
      <c r="AY55" s="127"/>
      <c r="AZ55" s="127"/>
      <c r="BA55" s="127"/>
    </row>
    <row r="56" spans="3:53" ht="15.6" customHeight="1">
      <c r="C56" s="86"/>
      <c r="D56" s="86"/>
      <c r="E56" s="86"/>
      <c r="F56" s="86"/>
      <c r="G56" s="86"/>
      <c r="H56" s="86"/>
      <c r="I56" s="86"/>
      <c r="J56" s="86"/>
      <c r="K56" s="86"/>
      <c r="L56" s="10"/>
      <c r="Y56" s="128"/>
      <c r="Z56" s="128"/>
      <c r="AA56" s="128"/>
      <c r="AB56" s="128"/>
      <c r="AC56" s="128"/>
      <c r="AD56" s="128"/>
      <c r="AE56" s="128"/>
      <c r="AF56" s="128"/>
      <c r="AG56" s="128"/>
      <c r="AH56" s="128"/>
      <c r="AI56" s="128"/>
      <c r="AJ56" s="128"/>
      <c r="AK56" s="128"/>
      <c r="AX56" s="127"/>
      <c r="AY56" s="127"/>
      <c r="AZ56" s="127"/>
      <c r="BA56" s="127"/>
    </row>
    <row r="57" spans="3:53" ht="20.100000000000001" customHeight="1">
      <c r="C57" s="111" t="str">
        <f>IF(ISNUMBER(SEARCH("Fehler",$C$22)), "", "Außenleiterspannungen")</f>
        <v>Außenleiterspannungen</v>
      </c>
      <c r="D57" s="111"/>
      <c r="E57" s="111"/>
      <c r="F57" s="111"/>
      <c r="G57" s="111" t="str">
        <f>IF(ISNUMBER(SEARCH("Fehler",$C$22)), "", IF(AC9=2,"","Sternleiterspannungen"))</f>
        <v/>
      </c>
      <c r="H57" s="112"/>
      <c r="I57" s="112"/>
      <c r="J57" s="111" t="str">
        <f>IF(ISNUMBER(SEARCH("Fehler",$C$22)), "", "Was ist zu messen?")</f>
        <v>Was ist zu messen?</v>
      </c>
      <c r="K57" s="86"/>
      <c r="L57" s="10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X57" s="127"/>
      <c r="AY57" s="127"/>
      <c r="AZ57" s="127"/>
      <c r="BA57" s="127"/>
    </row>
    <row r="58" spans="3:53" ht="15.6" customHeight="1">
      <c r="C58" s="211" t="e" vm="3">
        <f>IF(ISNUMBER(SEARCH("Fehler",$C$22)), "", AE52)</f>
        <v>#VALUE!</v>
      </c>
      <c r="D58" s="211"/>
      <c r="E58" s="211"/>
      <c r="F58" s="86"/>
      <c r="G58" s="211" t="str">
        <f>IF(ISNUMBER(SEARCH("Fehler",$C$22)), "", IF(AC9=2,"",AE54))</f>
        <v/>
      </c>
      <c r="H58" s="211"/>
      <c r="I58" s="211"/>
      <c r="J58" s="207" t="str">
        <f>IF(ISNUMBER(SEARCH("Fehler",$C$22)), "", IF(AC9=2,AA61,AA60))</f>
        <v>Sternleiterspannungen    NEIN
Außenleiterspannungen  JA</v>
      </c>
      <c r="K58" s="207"/>
      <c r="L58" s="207"/>
      <c r="Y58" s="128"/>
      <c r="Z58" s="128"/>
      <c r="AA58" s="128"/>
      <c r="AB58" s="128"/>
      <c r="AC58" s="128"/>
      <c r="AD58" s="128"/>
      <c r="AE58" s="128"/>
      <c r="AF58" s="128"/>
      <c r="AG58" s="128"/>
      <c r="AH58" s="128"/>
      <c r="AI58" s="128"/>
      <c r="AJ58" s="128"/>
      <c r="AK58" s="128"/>
      <c r="AX58" s="127"/>
      <c r="AY58" s="127"/>
      <c r="AZ58" s="127"/>
      <c r="BA58" s="127"/>
    </row>
    <row r="59" spans="3:53" ht="15.6" customHeight="1">
      <c r="C59" s="211"/>
      <c r="D59" s="211"/>
      <c r="E59" s="211"/>
      <c r="F59" s="86"/>
      <c r="G59" s="211"/>
      <c r="H59" s="211"/>
      <c r="I59" s="211"/>
      <c r="J59" s="207"/>
      <c r="K59" s="207"/>
      <c r="L59" s="207"/>
      <c r="Y59" s="128"/>
      <c r="Z59" s="128"/>
      <c r="AA59" s="128"/>
      <c r="AB59" s="128"/>
      <c r="AC59" s="128"/>
      <c r="AD59" s="128"/>
      <c r="AE59" s="128"/>
      <c r="AF59" s="128"/>
      <c r="AG59" s="128"/>
      <c r="AH59" s="128"/>
      <c r="AI59" s="128"/>
      <c r="AJ59" s="128"/>
      <c r="AK59" s="128"/>
      <c r="AX59" s="127"/>
      <c r="AY59" s="127"/>
      <c r="AZ59" s="127"/>
      <c r="BA59" s="127"/>
    </row>
    <row r="60" spans="3:53" ht="15.6" customHeight="1">
      <c r="C60" s="211"/>
      <c r="D60" s="211"/>
      <c r="E60" s="211"/>
      <c r="F60" s="86"/>
      <c r="G60" s="211"/>
      <c r="H60" s="211"/>
      <c r="I60" s="211"/>
      <c r="J60" s="207"/>
      <c r="K60" s="207"/>
      <c r="L60" s="207"/>
      <c r="Y60" s="128"/>
      <c r="Z60" s="128"/>
      <c r="AA60" s="131" t="s">
        <v>123</v>
      </c>
      <c r="AB60" s="128"/>
      <c r="AC60" s="128"/>
      <c r="AD60" s="128"/>
      <c r="AE60" s="128"/>
      <c r="AF60" s="128"/>
      <c r="AG60" s="128"/>
      <c r="AH60" s="128"/>
      <c r="AI60" s="128"/>
      <c r="AJ60" s="128"/>
      <c r="AK60" s="128"/>
      <c r="AX60" s="127"/>
      <c r="AY60" s="127"/>
      <c r="AZ60" s="127"/>
      <c r="BA60" s="127"/>
    </row>
    <row r="61" spans="3:53" ht="20.100000000000001" customHeight="1">
      <c r="C61" s="211"/>
      <c r="D61" s="211"/>
      <c r="E61" s="211"/>
      <c r="F61" s="86"/>
      <c r="G61" s="211"/>
      <c r="H61" s="211"/>
      <c r="I61" s="211"/>
      <c r="J61" s="207"/>
      <c r="K61" s="207"/>
      <c r="L61" s="207"/>
      <c r="Y61" s="128"/>
      <c r="Z61" s="128"/>
      <c r="AA61" s="131" t="s">
        <v>100</v>
      </c>
      <c r="AB61" s="128"/>
      <c r="AC61" s="128"/>
      <c r="AD61" s="128"/>
      <c r="AE61" s="128"/>
      <c r="AF61" s="128"/>
      <c r="AG61" s="128"/>
      <c r="AH61" s="128"/>
      <c r="AI61" s="128"/>
      <c r="AJ61" s="128"/>
      <c r="AK61" s="128"/>
      <c r="AX61" s="127"/>
      <c r="AY61" s="127"/>
      <c r="AZ61" s="127"/>
      <c r="BA61" s="127"/>
    </row>
    <row r="62" spans="3:53">
      <c r="J62" s="207"/>
      <c r="K62" s="207"/>
      <c r="L62" s="207"/>
      <c r="Y62" s="128"/>
      <c r="Z62" s="128"/>
      <c r="AA62" s="128"/>
      <c r="AB62" s="128"/>
      <c r="AC62" s="128"/>
      <c r="AD62" s="128"/>
      <c r="AE62" s="128"/>
      <c r="AF62" s="128"/>
      <c r="AG62" s="128"/>
      <c r="AH62" s="128"/>
      <c r="AI62" s="128"/>
      <c r="AJ62" s="128"/>
      <c r="AK62" s="128"/>
      <c r="AX62" s="127"/>
      <c r="AY62" s="127"/>
      <c r="AZ62" s="127"/>
      <c r="BA62" s="127"/>
    </row>
    <row r="63" spans="3:53">
      <c r="J63" s="207"/>
      <c r="K63" s="207"/>
      <c r="L63" s="207"/>
      <c r="Y63" s="128"/>
      <c r="Z63" s="128"/>
      <c r="AA63" s="128"/>
      <c r="AB63" s="128"/>
      <c r="AC63" s="128"/>
      <c r="AD63" s="128"/>
      <c r="AE63" s="128"/>
      <c r="AF63" s="128"/>
      <c r="AG63" s="128"/>
      <c r="AH63" s="128"/>
      <c r="AI63" s="128"/>
      <c r="AJ63" s="128"/>
      <c r="AK63" s="128"/>
      <c r="AX63" s="127"/>
      <c r="AY63" s="127"/>
      <c r="AZ63" s="127"/>
      <c r="BA63" s="127"/>
    </row>
    <row r="64" spans="3:53">
      <c r="J64" s="114"/>
      <c r="K64" s="114"/>
      <c r="L64" s="114"/>
      <c r="AX64" s="127"/>
      <c r="AY64" s="127"/>
      <c r="AZ64" s="127"/>
      <c r="BA64" s="127"/>
    </row>
    <row r="65" spans="3:53" ht="21" thickBot="1">
      <c r="C65" s="205" t="s">
        <v>78</v>
      </c>
      <c r="D65" s="205"/>
      <c r="E65" s="205"/>
      <c r="F65" s="205"/>
      <c r="G65" s="205"/>
      <c r="H65" s="205"/>
      <c r="I65" s="205"/>
      <c r="J65" s="205"/>
      <c r="K65" s="205"/>
      <c r="L65" s="205"/>
      <c r="AX65" s="127"/>
      <c r="AY65" s="127"/>
      <c r="AZ65" s="127"/>
      <c r="BA65" s="127"/>
    </row>
    <row r="66" spans="3:53" ht="15">
      <c r="K66" s="10"/>
      <c r="L66" s="10"/>
      <c r="AX66" s="127"/>
      <c r="AY66" s="127"/>
      <c r="AZ66" s="127"/>
      <c r="BA66" s="127"/>
    </row>
    <row r="67" spans="3:53" ht="15">
      <c r="C67" s="8" t="s">
        <v>35</v>
      </c>
      <c r="D67" s="8"/>
      <c r="E67" s="214" t="s">
        <v>56</v>
      </c>
      <c r="F67" s="214"/>
      <c r="G67" s="214"/>
      <c r="H67" s="8"/>
      <c r="I67" s="8" t="s">
        <v>71</v>
      </c>
      <c r="J67" s="8" t="s">
        <v>72</v>
      </c>
      <c r="K67" s="10"/>
      <c r="L67" s="10"/>
      <c r="AX67" s="127"/>
      <c r="AY67" s="127"/>
      <c r="AZ67" s="127"/>
      <c r="BA67" s="127"/>
    </row>
    <row r="68" spans="3:53" ht="15">
      <c r="C68" s="9"/>
      <c r="D68" s="89"/>
      <c r="E68" s="89"/>
      <c r="F68" s="89"/>
      <c r="G68" s="89"/>
      <c r="H68" s="89"/>
      <c r="I68" s="89"/>
      <c r="J68" s="89"/>
      <c r="K68" s="10"/>
      <c r="L68" s="10"/>
      <c r="AX68" s="127"/>
      <c r="AY68" s="127"/>
      <c r="AZ68" s="127"/>
      <c r="BA68" s="127"/>
    </row>
    <row r="69" spans="3:53" ht="15">
      <c r="C69" s="90" t="s">
        <v>63</v>
      </c>
      <c r="D69" s="90"/>
      <c r="E69" s="91" t="s">
        <v>61</v>
      </c>
      <c r="F69" s="91"/>
      <c r="G69" s="91"/>
      <c r="H69" s="92"/>
      <c r="I69" s="115">
        <f>IF(ISNUMBER(SEARCH("Fehler",$C$22)), "", AC43)</f>
        <v>51.5</v>
      </c>
      <c r="J69" s="94">
        <f>IF(ISNUMBER(SEARCH("Fehler",$C$22)), "", AE43)</f>
        <v>0.1</v>
      </c>
      <c r="K69" s="10"/>
      <c r="L69" s="10"/>
      <c r="AX69" s="127"/>
      <c r="AY69" s="127"/>
      <c r="AZ69" s="127"/>
      <c r="BA69" s="127"/>
    </row>
    <row r="70" spans="3:53" ht="15.6" customHeight="1">
      <c r="C70" s="95" t="s">
        <v>50</v>
      </c>
      <c r="D70" s="95"/>
      <c r="E70" s="91" t="s">
        <v>62</v>
      </c>
      <c r="F70" s="91"/>
      <c r="G70" s="91"/>
      <c r="H70" s="92"/>
      <c r="I70" s="116" t="str">
        <f>IF(ISNUMBER(SEARCH("Fehler",$C$22)), "", _xlfn.CONCAT(AD44, " Hz (Standard)"))</f>
        <v>50,1 Hz (Standard)</v>
      </c>
      <c r="J70" s="117"/>
      <c r="K70" s="10"/>
      <c r="L70" s="10"/>
    </row>
    <row r="71" spans="3:53" ht="15.6" customHeight="1">
      <c r="C71" s="97"/>
      <c r="D71" s="97"/>
      <c r="E71" s="97"/>
      <c r="F71" s="97"/>
      <c r="G71" s="98"/>
      <c r="H71" s="10"/>
      <c r="I71" s="113"/>
      <c r="J71" s="100"/>
      <c r="K71" s="10"/>
      <c r="L71" s="10"/>
    </row>
    <row r="72" spans="3:53" ht="15.6" customHeight="1">
      <c r="C72" s="101" t="s">
        <v>64</v>
      </c>
      <c r="D72" s="101"/>
      <c r="E72" s="102" t="s">
        <v>61</v>
      </c>
      <c r="F72" s="102"/>
      <c r="G72" s="102"/>
      <c r="H72" s="89"/>
      <c r="I72" s="118">
        <f>IF(ISNUMBER(SEARCH("Fehler",$C$22)), "", AC45)</f>
        <v>47.5</v>
      </c>
      <c r="J72" s="104">
        <f>IF(ISNUMBER(SEARCH("Fehler",$C$22)), "", AE45)</f>
        <v>0.1</v>
      </c>
      <c r="K72" s="10"/>
      <c r="L72" s="10"/>
    </row>
    <row r="73" spans="3:53" ht="15.6" customHeight="1">
      <c r="C73" s="105" t="s">
        <v>51</v>
      </c>
      <c r="D73" s="105"/>
      <c r="E73" s="102" t="s">
        <v>62</v>
      </c>
      <c r="F73" s="102"/>
      <c r="G73" s="102"/>
      <c r="H73" s="89"/>
      <c r="I73" s="113" t="str">
        <f>IF(ISNUMBER(SEARCH("Fehler",$C$22)), "",  _xlfn.CONCAT(AD46, " Hz (Standard)"))</f>
        <v>47,513 Hz (Standard)</v>
      </c>
      <c r="J73" s="100"/>
      <c r="K73" s="10"/>
      <c r="L73" s="10"/>
    </row>
    <row r="74" spans="3:53" ht="15.6" customHeight="1">
      <c r="C74" s="10"/>
      <c r="D74" s="10"/>
      <c r="E74" s="10"/>
      <c r="F74" s="10"/>
      <c r="G74" s="10"/>
      <c r="H74" s="10"/>
      <c r="I74" s="10"/>
      <c r="J74" s="10"/>
    </row>
    <row r="75" spans="3:53" ht="15.6" customHeight="1"/>
    <row r="76" spans="3:53" ht="20.45" customHeight="1" thickBot="1">
      <c r="C76" s="205" t="s">
        <v>68</v>
      </c>
      <c r="D76" s="205"/>
      <c r="E76" s="205"/>
      <c r="F76" s="205"/>
      <c r="G76" s="205"/>
      <c r="H76" s="205"/>
      <c r="I76" s="205"/>
      <c r="J76" s="205"/>
      <c r="K76" s="205"/>
      <c r="L76" s="205"/>
    </row>
    <row r="77" spans="3:53" ht="15.6" customHeight="1">
      <c r="D77" s="119"/>
      <c r="E77" s="119"/>
      <c r="F77" s="119"/>
      <c r="G77" s="119"/>
      <c r="H77" s="119"/>
      <c r="I77" s="119"/>
      <c r="J77" s="119"/>
      <c r="K77" s="119"/>
      <c r="L77" s="119"/>
    </row>
    <row r="78" spans="3:53" ht="15.6" customHeight="1">
      <c r="C78" s="206" t="str">
        <f>IF(G15&lt;&gt;"", G15, "keine")</f>
        <v>keine</v>
      </c>
      <c r="D78" s="206"/>
      <c r="E78" s="206"/>
      <c r="F78" s="206"/>
      <c r="G78" s="206"/>
      <c r="H78" s="206"/>
      <c r="I78" s="206"/>
      <c r="J78" s="206"/>
      <c r="K78" s="206"/>
      <c r="L78" s="206"/>
    </row>
    <row r="79" spans="3:53" ht="15.6" customHeight="1">
      <c r="C79" s="206"/>
      <c r="D79" s="206"/>
      <c r="E79" s="206"/>
      <c r="F79" s="206"/>
      <c r="G79" s="206"/>
      <c r="H79" s="206"/>
      <c r="I79" s="206"/>
      <c r="J79" s="206"/>
      <c r="K79" s="206"/>
      <c r="L79" s="206"/>
    </row>
    <row r="80" spans="3:53" ht="15.6" customHeight="1">
      <c r="C80" s="206"/>
      <c r="D80" s="206"/>
      <c r="E80" s="206"/>
      <c r="F80" s="206"/>
      <c r="G80" s="206"/>
      <c r="H80" s="206"/>
      <c r="I80" s="206"/>
      <c r="J80" s="206"/>
      <c r="K80" s="206"/>
      <c r="L80" s="206"/>
    </row>
    <row r="81" spans="3:12" ht="15.6" customHeight="1">
      <c r="C81" s="206"/>
      <c r="D81" s="206"/>
      <c r="E81" s="206"/>
      <c r="F81" s="206"/>
      <c r="G81" s="206"/>
      <c r="H81" s="206"/>
      <c r="I81" s="206"/>
      <c r="J81" s="206"/>
      <c r="K81" s="206"/>
      <c r="L81" s="206"/>
    </row>
    <row r="82" spans="3:12" ht="15.6" customHeight="1">
      <c r="C82" s="206"/>
      <c r="D82" s="206"/>
      <c r="E82" s="206"/>
      <c r="F82" s="206"/>
      <c r="G82" s="206"/>
      <c r="H82" s="206"/>
      <c r="I82" s="206"/>
      <c r="J82" s="206"/>
      <c r="K82" s="206"/>
      <c r="L82" s="206"/>
    </row>
    <row r="83" spans="3:12" ht="15.6" customHeight="1">
      <c r="C83" s="206"/>
      <c r="D83" s="206"/>
      <c r="E83" s="206"/>
      <c r="F83" s="206"/>
      <c r="G83" s="206"/>
      <c r="H83" s="206"/>
      <c r="I83" s="206"/>
      <c r="J83" s="206"/>
      <c r="K83" s="206"/>
      <c r="L83" s="206"/>
    </row>
    <row r="84" spans="3:12" ht="15.95" customHeight="1">
      <c r="C84" s="206"/>
      <c r="D84" s="206"/>
      <c r="E84" s="206"/>
      <c r="F84" s="206"/>
      <c r="G84" s="206"/>
      <c r="H84" s="206"/>
      <c r="I84" s="206"/>
      <c r="J84" s="206"/>
      <c r="K84" s="206"/>
      <c r="L84" s="206"/>
    </row>
    <row r="85" spans="3:12" ht="15">
      <c r="C85" s="181"/>
      <c r="D85" s="181"/>
      <c r="E85" s="181"/>
      <c r="F85" s="181"/>
      <c r="G85" s="181"/>
      <c r="H85" s="181"/>
      <c r="I85" s="181"/>
      <c r="J85" s="181"/>
      <c r="K85" s="181"/>
      <c r="L85" s="181"/>
    </row>
    <row r="86" spans="3:12" ht="15">
      <c r="C86" s="10"/>
      <c r="D86" s="10"/>
      <c r="E86" s="10"/>
      <c r="F86" s="10"/>
      <c r="G86" s="10"/>
      <c r="H86" s="10"/>
      <c r="I86" s="10"/>
      <c r="J86" s="10"/>
      <c r="K86" s="10"/>
      <c r="L86" s="10"/>
    </row>
  </sheetData>
  <sheetProtection algorithmName="SHA-512" hashValue="OUQznL7POrhqCnqyz6XrGdx+cbJztEjVBg1xhVrp6eKwE/OpEM9LURJZHYTg4xXVDF1HOJoLrjtoZgtjvnkKvw==" saltValue="xbB/wSx+J/RoLyOvk78sXA==" spinCount="100000" sheet="1" selectLockedCells="1"/>
  <protectedRanges>
    <protectedRange sqref="L10 C15 E15 G15" name="Bereich1"/>
  </protectedRanges>
  <mergeCells count="81">
    <mergeCell ref="AI8:AJ8"/>
    <mergeCell ref="AF27:AF28"/>
    <mergeCell ref="AG27:AG28"/>
    <mergeCell ref="I8:J8"/>
    <mergeCell ref="G15:L17"/>
    <mergeCell ref="C15:C17"/>
    <mergeCell ref="E15:E17"/>
    <mergeCell ref="C29:L32"/>
    <mergeCell ref="C10:C11"/>
    <mergeCell ref="L10:L11"/>
    <mergeCell ref="C22:L22"/>
    <mergeCell ref="AJ39:AK39"/>
    <mergeCell ref="AJ38:AK38"/>
    <mergeCell ref="AJ37:AK37"/>
    <mergeCell ref="AJ36:AK36"/>
    <mergeCell ref="AJ35:AK35"/>
    <mergeCell ref="AH41:AI41"/>
    <mergeCell ref="AH42:AI42"/>
    <mergeCell ref="AJ42:AK42"/>
    <mergeCell ref="AJ41:AK41"/>
    <mergeCell ref="AJ40:AK40"/>
    <mergeCell ref="AH36:AI36"/>
    <mergeCell ref="AH37:AI37"/>
    <mergeCell ref="AH38:AI38"/>
    <mergeCell ref="AH39:AI39"/>
    <mergeCell ref="AH40:AI40"/>
    <mergeCell ref="AA41:AB41"/>
    <mergeCell ref="AA43:AB43"/>
    <mergeCell ref="AA45:AB45"/>
    <mergeCell ref="AF35:AG35"/>
    <mergeCell ref="AF36:AG36"/>
    <mergeCell ref="AF37:AG37"/>
    <mergeCell ref="AF38:AG38"/>
    <mergeCell ref="AF40:AG40"/>
    <mergeCell ref="AF41:AG41"/>
    <mergeCell ref="AF42:AG42"/>
    <mergeCell ref="AF39:AG39"/>
    <mergeCell ref="AA36:AB36"/>
    <mergeCell ref="AA37:AB37"/>
    <mergeCell ref="AA38:AB38"/>
    <mergeCell ref="AA39:AB39"/>
    <mergeCell ref="AA40:AB40"/>
    <mergeCell ref="AA31:AK31"/>
    <mergeCell ref="AA33:AB33"/>
    <mergeCell ref="AA34:AB34"/>
    <mergeCell ref="AA35:AB35"/>
    <mergeCell ref="AH35:AI35"/>
    <mergeCell ref="AA50:AG50"/>
    <mergeCell ref="AA24:AG24"/>
    <mergeCell ref="A1:XFD1"/>
    <mergeCell ref="AA7:AG7"/>
    <mergeCell ref="B6:D6"/>
    <mergeCell ref="A2:XFD2"/>
    <mergeCell ref="B20:E20"/>
    <mergeCell ref="B25:E25"/>
    <mergeCell ref="K25:L25"/>
    <mergeCell ref="AD9:AG9"/>
    <mergeCell ref="AD22:AH22"/>
    <mergeCell ref="AF33:AG33"/>
    <mergeCell ref="AH33:AI33"/>
    <mergeCell ref="AC27:AC28"/>
    <mergeCell ref="AD27:AD28"/>
    <mergeCell ref="AJ33:AK33"/>
    <mergeCell ref="E34:J34"/>
    <mergeCell ref="C65:L65"/>
    <mergeCell ref="K51:L51"/>
    <mergeCell ref="K48:L48"/>
    <mergeCell ref="K45:L45"/>
    <mergeCell ref="E40:G40"/>
    <mergeCell ref="C55:L55"/>
    <mergeCell ref="C76:L76"/>
    <mergeCell ref="C78:L84"/>
    <mergeCell ref="J58:L63"/>
    <mergeCell ref="E35:J35"/>
    <mergeCell ref="C38:L38"/>
    <mergeCell ref="K40:L40"/>
    <mergeCell ref="C58:E61"/>
    <mergeCell ref="G58:I61"/>
    <mergeCell ref="K42:L42"/>
    <mergeCell ref="K52:L53"/>
    <mergeCell ref="E67:G67"/>
  </mergeCells>
  <conditionalFormatting sqref="C22">
    <cfRule type="containsText" dxfId="9" priority="6" operator="containsText" text="Info">
      <formula>NOT(ISERROR(SEARCH("Info",C22)))</formula>
    </cfRule>
    <cfRule type="containsText" dxfId="8" priority="7" operator="containsText" text="Fehler">
      <formula>NOT(ISERROR(SEARCH("Fehler",C22)))</formula>
    </cfRule>
    <cfRule type="containsText" dxfId="7" priority="9" operator="containsText" text="Alles in Ordnung">
      <formula>NOT(ISERROR(SEARCH("Alles in Ordnung",C22)))</formula>
    </cfRule>
  </conditionalFormatting>
  <conditionalFormatting sqref="C29">
    <cfRule type="containsText" dxfId="6" priority="5" operator="containsText" text="Info; Alles in Ordnung">
      <formula>NOT(ISERROR(SEARCH("Info; Alles in Ordnung",C29)))</formula>
    </cfRule>
  </conditionalFormatting>
  <conditionalFormatting sqref="D77:J77 C78">
    <cfRule type="containsText" dxfId="5" priority="1" operator="containsText" text="keine">
      <formula>NOT(ISERROR(SEARCH("keine",C77)))</formula>
    </cfRule>
  </conditionalFormatting>
  <conditionalFormatting sqref="E34:J35">
    <cfRule type="containsText" dxfId="4" priority="2" operator="containsText" text="nicht spezifiziert">
      <formula>NOT(ISERROR(SEARCH("nicht spezifiziert",E34)))</formula>
    </cfRule>
  </conditionalFormatting>
  <conditionalFormatting sqref="L10:L11">
    <cfRule type="expression" dxfId="3" priority="4">
      <formula>IF(AC9 = 2, TRUE, FALSE)</formula>
    </cfRule>
  </conditionalFormatting>
  <dataValidations count="2">
    <dataValidation type="list" allowBlank="1" showInputMessage="1" showErrorMessage="1" sqref="C10:C11" xr:uid="{188C416B-34C5-4DA3-BA0A-1285EC8868B5}">
      <formula1>$AA$10:$AA$12</formula1>
    </dataValidation>
    <dataValidation type="custom" errorStyle="information" allowBlank="1" showErrorMessage="1" errorTitle="Keine Trafo-Übersetzung möglich" error="Messspannung gewählt auf &quot;Mittelspannungsebene&quot;. Die Übersetzung des Trafos ist daher nicht relevant und dieser Wert entfällt." promptTitle="Trafo-Übersetzung" prompt="Geben Sie hier nur bei einer Messung in der Niederspannungsebene eine Übersetzung an." sqref="L10:L11" xr:uid="{24B08BD1-B34D-42A9-AEA8-906F63E70F43}">
      <formula1>IF(AC9&lt;2,TRUE,FALSE)</formula1>
    </dataValidation>
  </dataValidations>
  <pageMargins left="0.51181102362204722" right="0.70866141732283472" top="1.7322834645669292" bottom="0.74803149606299213" header="0.70866141732283472" footer="0.9055118110236221"/>
  <pageSetup paperSize="9" scale="65" fitToWidth="0" fitToHeight="0" orientation="portrait" r:id="rId1"/>
  <headerFooter>
    <oddHeader xml:space="preserve">&amp;L&amp;18&amp;K183A68    &amp;D &amp;T&amp;"Arial,Fett" 
    Einstellblatt Entkupplungsschutzeinrichtung 
    Mittelspannung   
    &amp;R&amp;G              </oddHead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Drop Down 1">
              <controlPr locked="0" defaultSize="0" autoLine="0" autoPict="0" altText="Bitte auswählen">
                <anchor moveWithCells="1">
                  <from>
                    <xdr:col>2</xdr:col>
                    <xdr:colOff>19050</xdr:colOff>
                    <xdr:row>9</xdr:row>
                    <xdr:rowOff>9525</xdr:rowOff>
                  </from>
                  <to>
                    <xdr:col>2</xdr:col>
                    <xdr:colOff>1171575</xdr:colOff>
                    <xdr:row>10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Drop Down 2">
              <controlPr locked="0" defaultSize="0" autoLine="0" autoPict="0" altText="Ja, standardmäßig">
                <anchor moveWithCells="1">
                  <from>
                    <xdr:col>4</xdr:col>
                    <xdr:colOff>9525</xdr:colOff>
                    <xdr:row>9</xdr:row>
                    <xdr:rowOff>9525</xdr:rowOff>
                  </from>
                  <to>
                    <xdr:col>4</xdr:col>
                    <xdr:colOff>1171575</xdr:colOff>
                    <xdr:row>10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Drop Down 3">
              <controlPr locked="0" defaultSize="0" autoLine="0" autoPict="0" altText="Bitte auswählen">
                <anchor moveWithCells="1">
                  <from>
                    <xdr:col>6</xdr:col>
                    <xdr:colOff>9525</xdr:colOff>
                    <xdr:row>9</xdr:row>
                    <xdr:rowOff>9525</xdr:rowOff>
                  </from>
                  <to>
                    <xdr:col>6</xdr:col>
                    <xdr:colOff>1181100</xdr:colOff>
                    <xdr:row>10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Drop Down 4">
              <controlPr locked="0" defaultSize="0" autoLine="0" autoPict="0" altText="Bitte auswählen">
                <anchor moveWithCells="1">
                  <from>
                    <xdr:col>8</xdr:col>
                    <xdr:colOff>9525</xdr:colOff>
                    <xdr:row>9</xdr:row>
                    <xdr:rowOff>9525</xdr:rowOff>
                  </from>
                  <to>
                    <xdr:col>9</xdr:col>
                    <xdr:colOff>1323975</xdr:colOff>
                    <xdr:row>10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3B93B-F054-4CE5-A7BF-0B62850CEF3B}">
  <sheetPr codeName="Tabelle3"/>
  <dimension ref="B2:W72"/>
  <sheetViews>
    <sheetView showGridLines="0" workbookViewId="0">
      <selection activeCell="J13" sqref="J13"/>
    </sheetView>
  </sheetViews>
  <sheetFormatPr baseColWidth="10" defaultColWidth="10.625" defaultRowHeight="14.25"/>
  <cols>
    <col min="1" max="1" width="10.625" style="1"/>
    <col min="2" max="2" width="3.625" style="1" customWidth="1"/>
    <col min="3" max="4" width="10.625" style="1"/>
    <col min="5" max="5" width="14.75" style="1" bestFit="1" customWidth="1"/>
    <col min="6" max="7" width="10.625" style="1" customWidth="1"/>
    <col min="8" max="8" width="10.625" style="1"/>
    <col min="9" max="9" width="20.625" style="1" customWidth="1"/>
    <col min="10" max="16384" width="10.625" style="1"/>
  </cols>
  <sheetData>
    <row r="2" spans="2:1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2:15" ht="15.75" thickBot="1">
      <c r="B3" s="2"/>
      <c r="C3" s="257" t="s">
        <v>91</v>
      </c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"/>
      <c r="O3" s="2"/>
    </row>
    <row r="4" spans="2:15">
      <c r="C4" s="4"/>
      <c r="D4" s="4"/>
      <c r="E4" s="4"/>
      <c r="F4" s="12"/>
      <c r="G4" s="4"/>
      <c r="H4" s="4"/>
      <c r="I4" s="4"/>
      <c r="J4" s="4"/>
      <c r="K4" s="4"/>
      <c r="L4" s="4"/>
      <c r="M4" s="4"/>
    </row>
    <row r="5" spans="2:15">
      <c r="C5" s="13">
        <f>'Einstellblatt Einspeiseanlage'!AA9</f>
        <v>1</v>
      </c>
      <c r="D5" s="13">
        <f>'Einstellblatt Einspeiseanlage'!AB9</f>
        <v>1</v>
      </c>
      <c r="E5" s="13">
        <f>'Einstellblatt Einspeiseanlage'!AC9</f>
        <v>2</v>
      </c>
      <c r="F5" s="265">
        <f>'Einstellblatt Einspeiseanlage'!AD9</f>
        <v>10</v>
      </c>
      <c r="G5" s="265"/>
      <c r="H5" s="265"/>
      <c r="I5" s="265"/>
      <c r="J5" s="14"/>
      <c r="K5" s="14"/>
      <c r="L5" s="14"/>
      <c r="M5" s="14"/>
    </row>
    <row r="6" spans="2:15">
      <c r="C6" s="15" t="s">
        <v>6</v>
      </c>
      <c r="D6" s="15" t="s">
        <v>9</v>
      </c>
      <c r="E6" s="15" t="s">
        <v>13</v>
      </c>
      <c r="F6" s="16" t="s">
        <v>17</v>
      </c>
      <c r="G6" s="16"/>
      <c r="H6" s="16"/>
      <c r="I6" s="16"/>
      <c r="J6" s="17">
        <v>28571</v>
      </c>
      <c r="K6" s="16"/>
      <c r="L6" s="16"/>
      <c r="M6" s="16"/>
    </row>
    <row r="7" spans="2:15">
      <c r="C7" s="15" t="s">
        <v>5</v>
      </c>
      <c r="D7" s="15" t="s">
        <v>8</v>
      </c>
      <c r="E7" s="15" t="s">
        <v>12</v>
      </c>
      <c r="F7" s="16" t="s">
        <v>18</v>
      </c>
      <c r="G7" s="16"/>
      <c r="H7" s="16"/>
      <c r="I7" s="16"/>
      <c r="J7" s="17">
        <v>10700</v>
      </c>
      <c r="K7" s="16"/>
      <c r="L7" s="16"/>
      <c r="M7" s="16"/>
    </row>
    <row r="8" spans="2:15">
      <c r="C8" s="15" t="s">
        <v>4</v>
      </c>
      <c r="D8" s="16"/>
      <c r="E8" s="16"/>
      <c r="F8" s="16" t="s">
        <v>19</v>
      </c>
      <c r="G8" s="16"/>
      <c r="H8" s="16"/>
      <c r="I8" s="16"/>
      <c r="J8" s="17">
        <v>20000</v>
      </c>
      <c r="K8" s="16"/>
      <c r="L8" s="16"/>
      <c r="M8" s="16"/>
    </row>
    <row r="9" spans="2:15">
      <c r="C9" s="18"/>
      <c r="D9" s="18"/>
      <c r="E9" s="18"/>
      <c r="F9" s="19" t="s">
        <v>20</v>
      </c>
      <c r="G9" s="19"/>
      <c r="H9" s="19"/>
      <c r="I9" s="19"/>
      <c r="J9" s="20">
        <v>20000</v>
      </c>
      <c r="K9" s="19"/>
      <c r="L9" s="19"/>
      <c r="M9" s="19"/>
    </row>
    <row r="10" spans="2:15">
      <c r="B10" s="3"/>
      <c r="C10" s="21"/>
      <c r="D10" s="21"/>
      <c r="E10" s="21"/>
      <c r="F10" s="21" t="s">
        <v>21</v>
      </c>
      <c r="G10" s="21"/>
      <c r="H10" s="21"/>
      <c r="I10" s="21"/>
      <c r="J10" s="22">
        <v>28571</v>
      </c>
      <c r="K10" s="23"/>
      <c r="L10" s="23"/>
      <c r="M10" s="23"/>
      <c r="N10" s="3"/>
      <c r="O10" s="3"/>
    </row>
    <row r="11" spans="2:15" ht="15">
      <c r="C11" s="21"/>
      <c r="D11" s="21"/>
      <c r="E11" s="21"/>
      <c r="F11" s="21" t="s">
        <v>22</v>
      </c>
      <c r="G11" s="21"/>
      <c r="H11" s="21"/>
      <c r="I11" s="21"/>
      <c r="J11" s="22">
        <v>10700</v>
      </c>
      <c r="K11" s="24"/>
      <c r="L11" s="24"/>
      <c r="M11" s="25"/>
    </row>
    <row r="12" spans="2:15">
      <c r="C12" s="21"/>
      <c r="D12" s="21"/>
      <c r="E12" s="21"/>
      <c r="F12" s="21" t="s">
        <v>23</v>
      </c>
      <c r="G12" s="21"/>
      <c r="H12" s="21"/>
      <c r="I12" s="21"/>
      <c r="J12" s="22">
        <v>28571</v>
      </c>
      <c r="K12" s="21"/>
      <c r="L12" s="21"/>
      <c r="M12" s="21"/>
    </row>
    <row r="13" spans="2:15">
      <c r="C13" s="21"/>
      <c r="D13" s="21"/>
      <c r="E13" s="21"/>
      <c r="F13" s="21" t="s">
        <v>24</v>
      </c>
      <c r="G13" s="21"/>
      <c r="H13" s="21"/>
      <c r="I13" s="21"/>
      <c r="J13" s="22">
        <v>20800</v>
      </c>
      <c r="K13" s="21"/>
      <c r="L13" s="21"/>
      <c r="M13" s="21"/>
    </row>
    <row r="14" spans="2:15">
      <c r="C14" s="21"/>
      <c r="D14" s="21"/>
      <c r="E14" s="21"/>
      <c r="F14" s="21" t="s">
        <v>25</v>
      </c>
      <c r="G14" s="21"/>
      <c r="H14" s="21"/>
      <c r="I14" s="21"/>
      <c r="J14" s="22">
        <v>20800</v>
      </c>
      <c r="K14" s="21"/>
      <c r="L14" s="21"/>
      <c r="M14" s="21"/>
    </row>
    <row r="15" spans="2:15">
      <c r="C15" s="21"/>
      <c r="D15" s="21"/>
      <c r="E15" s="21"/>
      <c r="F15" s="21" t="s">
        <v>26</v>
      </c>
      <c r="G15" s="21"/>
      <c r="H15" s="21"/>
      <c r="I15" s="21"/>
      <c r="J15" s="22">
        <v>20800</v>
      </c>
      <c r="K15" s="21"/>
      <c r="L15" s="21"/>
      <c r="M15" s="21"/>
    </row>
    <row r="16" spans="2:15">
      <c r="C16" s="19"/>
      <c r="D16" s="19"/>
      <c r="E16" s="19"/>
    </row>
    <row r="17" spans="3:13" ht="15">
      <c r="C17" s="26" t="str" cm="1">
        <f t="array" ref="C17">IF(C5=0,"Fehler",INDEX(C6:C9,C5))</f>
        <v>Asynchron</v>
      </c>
      <c r="D17" s="26" t="str" cm="1">
        <f t="array" ref="D17">IF(C5=0,"Fehler",INDEX(D6:D7,D5))</f>
        <v>ja</v>
      </c>
      <c r="E17" s="26" t="str" cm="1">
        <f t="array" ref="E17">IF(C5=0,"Fehler",INDEX(E6:E7,E5))</f>
        <v>Mittelspannung</v>
      </c>
      <c r="F17" s="266" t="str" cm="1">
        <f t="array" ref="F17">IF(C5=0,"Fehler",INDEX(F6:F15,F5))</f>
        <v>Region Tschagguns Schruns Gamprätz 20kV</v>
      </c>
      <c r="G17" s="266"/>
      <c r="H17" s="266"/>
      <c r="I17" s="266"/>
      <c r="J17" s="61" cm="1">
        <f t="array" ref="J17">IF(C5=0,"Fehler",INDEX(J6:J15,F5))</f>
        <v>20800</v>
      </c>
      <c r="K17" s="27"/>
      <c r="L17" s="27"/>
      <c r="M17" s="27"/>
    </row>
    <row r="18" spans="3:13">
      <c r="F18" s="28"/>
    </row>
    <row r="19" spans="3:13">
      <c r="F19" s="28"/>
    </row>
    <row r="20" spans="3:13" ht="15.75" thickBot="1">
      <c r="C20" s="257" t="s">
        <v>92</v>
      </c>
      <c r="D20" s="257"/>
      <c r="E20" s="257"/>
      <c r="F20" s="257"/>
      <c r="G20" s="257"/>
      <c r="H20" s="257"/>
      <c r="I20" s="257"/>
      <c r="J20" s="257"/>
      <c r="K20" s="257"/>
      <c r="L20" s="257"/>
      <c r="M20" s="257"/>
    </row>
    <row r="21" spans="3:13">
      <c r="H21" s="29"/>
      <c r="I21" s="29"/>
    </row>
    <row r="22" spans="3:13" ht="15">
      <c r="C22" s="30" cm="1">
        <f t="array" ref="C22">IF(C5=0,"Fehler",INDEX(J6:J15,F5))</f>
        <v>20800</v>
      </c>
      <c r="D22" s="30">
        <f>IF(E5=2,IF(C22&lt;=12000, 100, IF(C22&gt;=25000, 300, 200)),"Entfällt")</f>
        <v>200</v>
      </c>
      <c r="E22" s="31">
        <f>IF(C22="Fehler", "Fehler", C22/'Einstellblatt Einspeiseanlage'!L10)</f>
        <v>297.14285714285717</v>
      </c>
      <c r="F22" s="31">
        <f>IF(C22="Fehler", "Fehler", E22/SQRT(3))</f>
        <v>171.5555085592031</v>
      </c>
      <c r="G22" s="32">
        <f>'Einstellblatt Einspeiseanlage'!L10</f>
        <v>70</v>
      </c>
      <c r="H22" s="33"/>
      <c r="I22" s="33"/>
      <c r="J22" s="34"/>
      <c r="K22" s="34"/>
      <c r="L22" s="34"/>
      <c r="M22" s="34"/>
    </row>
    <row r="23" spans="3:13" ht="16.5">
      <c r="C23" s="35" t="s">
        <v>38</v>
      </c>
      <c r="D23" s="35" t="s">
        <v>39</v>
      </c>
      <c r="E23" s="275" t="s">
        <v>40</v>
      </c>
      <c r="F23" s="275" t="s">
        <v>41</v>
      </c>
      <c r="G23" s="35" t="s">
        <v>55</v>
      </c>
      <c r="H23" s="16"/>
      <c r="I23" s="16"/>
      <c r="J23" s="16"/>
      <c r="K23" s="16"/>
      <c r="L23" s="16"/>
      <c r="M23" s="16"/>
    </row>
    <row r="24" spans="3:13">
      <c r="C24" s="36"/>
      <c r="D24" s="36"/>
      <c r="E24" s="276"/>
      <c r="F24" s="276"/>
      <c r="G24" s="21"/>
      <c r="H24" s="21"/>
      <c r="I24" s="21"/>
      <c r="J24" s="21"/>
      <c r="K24" s="21"/>
      <c r="L24" s="21"/>
      <c r="M24" s="21"/>
    </row>
    <row r="25" spans="3:13">
      <c r="C25" s="3"/>
      <c r="D25" s="3"/>
      <c r="E25" s="3"/>
      <c r="F25" s="3"/>
      <c r="G25" s="3"/>
      <c r="H25" s="3"/>
      <c r="I25" s="3"/>
    </row>
    <row r="26" spans="3:13" ht="15">
      <c r="D26" s="37"/>
      <c r="E26" s="37"/>
      <c r="F26" s="37"/>
      <c r="G26" s="37"/>
      <c r="H26" s="37"/>
      <c r="I26" s="37"/>
    </row>
    <row r="27" spans="3:13" ht="15.75" thickBot="1">
      <c r="C27" s="256" t="s">
        <v>42</v>
      </c>
      <c r="D27" s="256"/>
      <c r="E27" s="256"/>
      <c r="F27" s="256"/>
      <c r="G27" s="256"/>
      <c r="H27" s="256"/>
      <c r="I27" s="256"/>
      <c r="J27" s="256"/>
      <c r="K27" s="256"/>
      <c r="L27" s="256"/>
      <c r="M27" s="256"/>
    </row>
    <row r="28" spans="3:13">
      <c r="F28" s="277" t="s">
        <v>81</v>
      </c>
    </row>
    <row r="29" spans="3:13" ht="14.1" customHeight="1">
      <c r="C29" s="253" t="s">
        <v>45</v>
      </c>
      <c r="D29" s="253"/>
      <c r="E29" s="38" t="s">
        <v>80</v>
      </c>
      <c r="F29" s="272"/>
      <c r="G29" s="38" t="s">
        <v>53</v>
      </c>
      <c r="H29" s="267" t="s">
        <v>54</v>
      </c>
      <c r="I29" s="267"/>
      <c r="J29" s="272" t="s">
        <v>67</v>
      </c>
      <c r="K29" s="272"/>
      <c r="L29" s="272" t="s">
        <v>66</v>
      </c>
      <c r="M29" s="272"/>
    </row>
    <row r="30" spans="3:13" ht="15">
      <c r="C30" s="281"/>
      <c r="D30" s="281"/>
      <c r="F30" s="278"/>
      <c r="J30" s="39"/>
    </row>
    <row r="31" spans="3:13">
      <c r="C31" s="258" t="s">
        <v>47</v>
      </c>
      <c r="D31" s="258"/>
      <c r="E31" s="40">
        <v>1.07</v>
      </c>
      <c r="F31" s="40"/>
      <c r="G31" s="273">
        <v>60</v>
      </c>
      <c r="H31" s="259">
        <f>IF(C22="Fehler", "Fehler", $C$22*E31)</f>
        <v>22256</v>
      </c>
      <c r="I31" s="259"/>
      <c r="J31" s="260">
        <f>IF(C22="Fehler", "Fehler", H31/$G$22)</f>
        <v>317.94285714285712</v>
      </c>
      <c r="K31" s="260"/>
      <c r="L31" s="260">
        <f>IF(C22="Fehler", "Fehler", J31/SQRT(3))</f>
        <v>183.56439415834731</v>
      </c>
      <c r="M31" s="260"/>
    </row>
    <row r="32" spans="3:13">
      <c r="C32" s="283"/>
      <c r="D32" s="283"/>
      <c r="E32" s="42"/>
      <c r="F32" s="41">
        <v>1.06</v>
      </c>
      <c r="G32" s="274"/>
      <c r="H32" s="263">
        <f>IF(C22="Fehler", "Fehler", $C$22*F32)</f>
        <v>22048</v>
      </c>
      <c r="I32" s="263"/>
      <c r="J32" s="264">
        <f>IF(C22="Fehler", "Fehler", H32/$G$22)</f>
        <v>314.97142857142859</v>
      </c>
      <c r="K32" s="264"/>
      <c r="L32" s="268">
        <f>IF(C22="Fehler", "Fehler", J32/SQRT(3))</f>
        <v>181.84883907275528</v>
      </c>
      <c r="M32" s="268"/>
    </row>
    <row r="33" spans="3:22">
      <c r="C33" s="261" t="s">
        <v>48</v>
      </c>
      <c r="D33" s="261"/>
      <c r="E33" s="43">
        <v>1.1000000000000001</v>
      </c>
      <c r="F33" s="43"/>
      <c r="G33" s="269">
        <v>0.1</v>
      </c>
      <c r="H33" s="259">
        <f>IF(C22="Fehler", "Fehler", $C$22*E33)</f>
        <v>22880.000000000004</v>
      </c>
      <c r="I33" s="259"/>
      <c r="J33" s="260">
        <f>IF(C22="Fehler", "Fehler", H33/$G$22)</f>
        <v>326.85714285714289</v>
      </c>
      <c r="K33" s="260"/>
      <c r="L33" s="262">
        <f>IF(C22="Fehler", "Fehler", J33/SQRT(3))</f>
        <v>188.71105941512343</v>
      </c>
      <c r="M33" s="262"/>
    </row>
    <row r="34" spans="3:22">
      <c r="C34" s="261"/>
      <c r="D34" s="261"/>
      <c r="E34" s="29"/>
      <c r="F34" s="29">
        <v>1.06</v>
      </c>
      <c r="G34" s="270"/>
      <c r="H34" s="263">
        <f>IF(C22="Fehler", "Fehler", $C$22*F34)</f>
        <v>22048</v>
      </c>
      <c r="I34" s="263"/>
      <c r="J34" s="264">
        <f>IF(C22="Fehler", "Fehler", H34/$G$22)</f>
        <v>314.97142857142859</v>
      </c>
      <c r="K34" s="264"/>
      <c r="L34" s="264">
        <f>IF(C22="Fehler", "Fehler", J34/SQRT(3))</f>
        <v>181.84883907275528</v>
      </c>
      <c r="M34" s="264"/>
    </row>
    <row r="35" spans="3:22">
      <c r="C35" s="258" t="s">
        <v>46</v>
      </c>
      <c r="D35" s="258"/>
      <c r="E35" s="40">
        <f>IF(C5&lt;&gt;1, 0.7, 0.8)</f>
        <v>0.8</v>
      </c>
      <c r="F35" s="40"/>
      <c r="G35" s="269">
        <f>IF(D5=2, 0.1, IF(C5&lt;&gt;1, 1, 1.5))</f>
        <v>1.5</v>
      </c>
      <c r="H35" s="259">
        <f>IF(C22="Fehler", "Fehler", $C$22*E35)</f>
        <v>16640</v>
      </c>
      <c r="I35" s="259"/>
      <c r="J35" s="260">
        <f>IF(C22="Fehler", "Fehler", H35/$G$22)</f>
        <v>237.71428571428572</v>
      </c>
      <c r="K35" s="260"/>
      <c r="L35" s="260">
        <f>IF(C22="Fehler", "Fehler", J35/SQRT(3))</f>
        <v>137.24440684736248</v>
      </c>
      <c r="M35" s="260"/>
    </row>
    <row r="36" spans="3:22">
      <c r="C36" s="283"/>
      <c r="D36" s="283"/>
      <c r="E36" s="41"/>
      <c r="F36" s="41">
        <v>0.9</v>
      </c>
      <c r="G36" s="270"/>
      <c r="H36" s="263">
        <f>IF(C22="Fehler", "Fehler", $C$22*F36)</f>
        <v>18720</v>
      </c>
      <c r="I36" s="263"/>
      <c r="J36" s="264">
        <f>IF(C22="Fehler", "Fehler", H36/$G$22)</f>
        <v>267.42857142857144</v>
      </c>
      <c r="K36" s="264"/>
      <c r="L36" s="268">
        <f>IF(C22="Fehler", "Fehler", J36/SQRT(3))</f>
        <v>154.39995770328278</v>
      </c>
      <c r="M36" s="268"/>
    </row>
    <row r="37" spans="3:22">
      <c r="C37" s="258" t="s">
        <v>49</v>
      </c>
      <c r="D37" s="258"/>
      <c r="E37" s="40">
        <v>0.3</v>
      </c>
      <c r="F37" s="40"/>
      <c r="G37" s="269">
        <f>IF(D5=2, "Entfällt", IF(C5&lt;&gt;1, 0.2, 0.5))</f>
        <v>0.5</v>
      </c>
      <c r="H37" s="259">
        <f>IF(C22="Fehler", "Fehler", $C$22*E37)</f>
        <v>6240</v>
      </c>
      <c r="I37" s="259"/>
      <c r="J37" s="260">
        <f>IF(C22="Fehler", "Fehler", H37/$G$22)</f>
        <v>89.142857142857139</v>
      </c>
      <c r="K37" s="260"/>
      <c r="L37" s="260">
        <f>IF(C22="Fehler", "Fehler", J37/SQRT(3))</f>
        <v>51.466652567760924</v>
      </c>
      <c r="M37" s="260"/>
    </row>
    <row r="38" spans="3:22">
      <c r="C38" s="44"/>
      <c r="D38" s="44"/>
      <c r="E38" s="42"/>
      <c r="F38" s="42">
        <v>0.9</v>
      </c>
      <c r="G38" s="270"/>
      <c r="H38" s="263">
        <f>IF(C22="Fehler", "Fehler", $C$22*F38)</f>
        <v>18720</v>
      </c>
      <c r="I38" s="263"/>
      <c r="J38" s="268">
        <f>IF(C22="Fehler", "Fehler", H38/$G$22)</f>
        <v>267.42857142857144</v>
      </c>
      <c r="K38" s="268"/>
      <c r="L38" s="268">
        <f>IF(C22="Fehler", "Fehler", J38/SQRT(3))</f>
        <v>154.39995770328278</v>
      </c>
      <c r="M38" s="268"/>
    </row>
    <row r="39" spans="3:22">
      <c r="C39" s="271" t="s">
        <v>50</v>
      </c>
      <c r="D39" s="271"/>
      <c r="E39" s="45">
        <v>51.5</v>
      </c>
      <c r="F39" s="45"/>
      <c r="G39" s="279">
        <v>0.1</v>
      </c>
      <c r="H39" s="28"/>
      <c r="I39" s="28"/>
      <c r="J39" s="28"/>
      <c r="K39" s="28"/>
      <c r="L39" s="28"/>
      <c r="M39" s="28"/>
    </row>
    <row r="40" spans="3:22">
      <c r="C40" s="44"/>
      <c r="D40" s="44"/>
      <c r="E40" s="42"/>
      <c r="F40" s="42">
        <v>50.1</v>
      </c>
      <c r="G40" s="280"/>
      <c r="H40" s="28"/>
      <c r="I40" s="28"/>
      <c r="J40" s="28"/>
      <c r="K40" s="28"/>
      <c r="L40" s="28"/>
      <c r="M40" s="28"/>
    </row>
    <row r="41" spans="3:22" ht="15">
      <c r="C41" s="271" t="s">
        <v>51</v>
      </c>
      <c r="D41" s="271"/>
      <c r="E41" s="45">
        <v>47.5</v>
      </c>
      <c r="F41" s="48"/>
      <c r="G41" s="46">
        <v>0.1</v>
      </c>
      <c r="H41" s="28"/>
      <c r="I41" s="28"/>
      <c r="J41" s="28"/>
      <c r="K41" s="28"/>
      <c r="L41" s="28"/>
      <c r="M41" s="28"/>
      <c r="P41" s="252"/>
      <c r="Q41" s="252"/>
      <c r="R41" s="252"/>
      <c r="S41" s="252"/>
      <c r="T41" s="252"/>
      <c r="U41" s="252"/>
      <c r="V41" s="252"/>
    </row>
    <row r="42" spans="3:22">
      <c r="C42" s="44"/>
      <c r="D42" s="44"/>
      <c r="E42" s="44"/>
      <c r="F42" s="42">
        <v>47.512999999999998</v>
      </c>
      <c r="G42" s="47"/>
      <c r="H42" s="28"/>
      <c r="I42" s="28"/>
      <c r="J42" s="28"/>
      <c r="K42" s="28"/>
      <c r="L42" s="28"/>
      <c r="M42" s="28"/>
      <c r="P42" s="49"/>
      <c r="Q42" s="49"/>
      <c r="R42" s="49"/>
      <c r="S42" s="49"/>
      <c r="T42" s="49"/>
      <c r="U42" s="49"/>
      <c r="V42" s="49"/>
    </row>
    <row r="43" spans="3:22">
      <c r="C43" s="282" t="str">
        <f>IF(D5=1,"Frequenzauslösung Spannungsabhängig einstellen","")</f>
        <v>Frequenzauslösung Spannungsabhängig einstellen</v>
      </c>
      <c r="D43" s="282"/>
      <c r="E43" s="282"/>
      <c r="F43" s="282"/>
      <c r="P43" s="49"/>
      <c r="Q43" s="50"/>
      <c r="R43" s="50"/>
      <c r="S43" s="50"/>
      <c r="T43" s="49"/>
      <c r="U43" s="49"/>
      <c r="V43" s="49"/>
    </row>
    <row r="44" spans="3:22">
      <c r="P44" s="49"/>
      <c r="Q44" s="50"/>
      <c r="R44" s="50"/>
      <c r="S44" s="50"/>
      <c r="T44" s="49"/>
      <c r="U44" s="49"/>
      <c r="V44" s="49"/>
    </row>
    <row r="45" spans="3:22" ht="15">
      <c r="P45" s="52"/>
      <c r="Q45" s="51"/>
      <c r="R45" s="51"/>
      <c r="S45" s="51"/>
      <c r="T45" s="49"/>
      <c r="U45" s="49"/>
      <c r="V45" s="49"/>
    </row>
    <row r="46" spans="3:22" ht="15.75" thickBot="1">
      <c r="C46" s="256" t="s">
        <v>93</v>
      </c>
      <c r="D46" s="256"/>
      <c r="E46" s="256"/>
      <c r="F46" s="256"/>
      <c r="G46" s="256"/>
      <c r="H46" s="256"/>
      <c r="I46" s="256"/>
      <c r="J46" s="256"/>
      <c r="K46" s="256"/>
      <c r="L46" s="256"/>
      <c r="M46" s="256"/>
    </row>
    <row r="48" spans="3:22" ht="15.6" customHeight="1">
      <c r="C48" s="248" t="s">
        <v>98</v>
      </c>
      <c r="D48" s="248"/>
      <c r="E48" s="249" t="str">
        <f>_xlfn.CONCAT(IF(C5&lt;&gt;3, "Der gewählte ", "Die gewählte "), IF(D5=1, "LVRT-fähige ", "NICHT LVRT-fähige "), IF(C5&lt;&gt;3, _xlfn.CONCAT(E51, "-Generator"), _xlfn.CONCAT(E51, "-Anlage")), IF(D5=2, " (ACHTUNG: LVRT-Fähigkeit muss bei Anlagen ab Inbetriebnahmedatum 01.01.2021 ausgeführt sein!)",""), ", befindet sich in der Spannungsebene der ", IF(F5&gt;0,INDEX(F6:F15,F5),"Region [Fehler]"), ". ", IF(E5 = 1, _xlfn.CONCAT("Die Trafo-Übersetzung beträgt ", G22), _xlfn.CONCAT("Es wird für die Wandler-Übersetzung in dieser Region standardmäßig ", D22, " angenommen")), ". ", "Die Werte beziehen sich auf die Nennspannung von ", IF(E5 = 1, "230V", "100V"), ", die Spannungsmessung erfolgt ", IF(E5=1, "Niederspannungsseitig", "Mittelspannungsseitig"), ".")</f>
        <v>Der gewählte LVRT-fähige Asynchron-Generator, befindet sich in der Spannungsebene der Region Tschagguns Schruns Gamprätz 20kV. Es wird für die Wandler-Übersetzung in dieser Region standardmäßig 200 angenommen. Die Werte beziehen sich auf die Nennspannung von 100V, die Spannungsmessung erfolgt Mittelspannungsseitig.</v>
      </c>
      <c r="F48" s="249"/>
      <c r="G48" s="249"/>
      <c r="H48" s="249"/>
      <c r="I48" s="249"/>
      <c r="J48" s="249"/>
      <c r="K48" s="249"/>
      <c r="L48" s="249"/>
      <c r="M48" s="249"/>
    </row>
    <row r="49" spans="3:23" ht="21" customHeight="1">
      <c r="C49" s="248"/>
      <c r="D49" s="248"/>
      <c r="E49" s="249"/>
      <c r="F49" s="249"/>
      <c r="G49" s="249"/>
      <c r="H49" s="249"/>
      <c r="I49" s="249"/>
      <c r="J49" s="249"/>
      <c r="K49" s="249"/>
      <c r="L49" s="249"/>
      <c r="M49" s="249"/>
    </row>
    <row r="50" spans="3:23" ht="15">
      <c r="C50" s="248"/>
      <c r="D50" s="248"/>
      <c r="E50" s="2"/>
      <c r="F50" s="2"/>
      <c r="G50" s="2"/>
      <c r="H50" s="2"/>
      <c r="I50" s="37"/>
      <c r="J50" s="253"/>
      <c r="K50" s="253"/>
      <c r="M50" s="3"/>
    </row>
    <row r="51" spans="3:23" ht="14.1" customHeight="1">
      <c r="C51" s="248" t="s">
        <v>96</v>
      </c>
      <c r="D51" s="248"/>
      <c r="E51" s="249" t="str" cm="1">
        <f t="array" ref="E51">IF(C5&gt;0,_xlfn.SWITCH(C5, 1, C6, 2, C7, 3, C8),"Fehler")</f>
        <v>Asynchron</v>
      </c>
      <c r="F51" s="249"/>
      <c r="G51" s="249"/>
      <c r="H51" s="249"/>
      <c r="I51" s="249"/>
      <c r="J51" s="249"/>
      <c r="K51" s="249"/>
      <c r="L51" s="249"/>
      <c r="M51" s="249"/>
    </row>
    <row r="52" spans="3:23">
      <c r="C52" s="248"/>
      <c r="D52" s="248"/>
      <c r="E52" s="249"/>
      <c r="F52" s="249"/>
      <c r="G52" s="249"/>
      <c r="H52" s="249"/>
      <c r="I52" s="249"/>
      <c r="J52" s="249"/>
      <c r="K52" s="249"/>
      <c r="L52" s="249"/>
      <c r="M52" s="249"/>
    </row>
    <row r="53" spans="3:23">
      <c r="C53" s="254"/>
      <c r="D53" s="254"/>
      <c r="E53" s="44"/>
      <c r="F53" s="44"/>
      <c r="G53" s="44"/>
      <c r="H53" s="44"/>
      <c r="I53" s="44"/>
      <c r="J53" s="44"/>
      <c r="K53" s="44"/>
      <c r="L53" s="44"/>
    </row>
    <row r="54" spans="3:23">
      <c r="O54" s="255" t="str" cm="1">
        <f t="array" ref="O54">IF(IFERROR(E48, 1)="", "Fehler: Berechnung versagt", IF(C5="", "Fehler: Bitte Generatortype wählen", IF(D5="", "Fehler: Bitte LVRT-Fähigkeit wählen", IF(E5="", "Fehler: Bitte Messspannung wählen", IF(F5="", "Fehler: Bitte Region wählen", IF(AND(Q22&lt;1, E5 = 1), "Fehler: Bitte Transformator-Übersetzung wählen", IF(D5=2,"ACHTUNG! LVRT-Fähigkeit wurde auf NEIN gestellt!",  IF(OR('Einstellblatt Einspeiseanlage'!M15:M17="",'Einstellblatt Einspeiseanlage'!O15:O17= "",'Einstellblatt Einspeiseanlage'!Q15:V17= ""), _xlfn.CONCAT("Info: Sie können Ihrem Dokument noch optional ", IF('Einstellblatt Einspeiseanlage'!M15="","'Anlage' ",""), IF('Einstellblatt Einspeiseanlage'!O15="","'Ausführung' ",""), IF('Einstellblatt Einspeiseanlage'!Q15="","'Notizen' ",""), "als Information hinzufügen"), "Alles in Ordnung"))))))))</f>
        <v>Info: Sie können Ihrem Dokument noch optional 'Anlage' 'Ausführung' 'Notizen' als Information hinzufügen</v>
      </c>
      <c r="P54" s="255"/>
      <c r="Q54" s="255"/>
      <c r="R54" s="255"/>
      <c r="S54" s="255"/>
      <c r="T54" s="255"/>
      <c r="U54" s="255"/>
      <c r="V54" s="255"/>
      <c r="W54" s="255"/>
    </row>
    <row r="55" spans="3:23">
      <c r="C55" s="248" t="s">
        <v>97</v>
      </c>
      <c r="D55" s="248"/>
      <c r="E55" s="249" cm="1">
        <f t="array" ref="E55">IF(IFERROR(E48, 1)=0, 1, IF(C5=0, 1, IF(D5=0, 1, IF(E5=0, 1, IF(F5=0, 1, IF(AND(G22&lt;1, E5 = 1),1, IF(D5=2,2, IF(OR('Einstellblatt Einspeiseanlage'!M15:M17="",'Einstellblatt Einspeiseanlage'!O15:O17= "",'Einstellblatt Einspeiseanlage'!Q15:V17= ""), 3,4))))))))</f>
        <v>3</v>
      </c>
      <c r="F55" s="249"/>
      <c r="G55" s="249"/>
      <c r="H55" s="249"/>
      <c r="I55" s="249"/>
      <c r="J55" s="249"/>
      <c r="K55" s="249"/>
      <c r="L55" s="249"/>
      <c r="M55" s="249"/>
      <c r="O55" s="255"/>
      <c r="P55" s="255"/>
      <c r="Q55" s="255"/>
      <c r="R55" s="255"/>
      <c r="S55" s="255"/>
      <c r="T55" s="255"/>
      <c r="U55" s="255"/>
      <c r="V55" s="255"/>
      <c r="W55" s="255"/>
    </row>
    <row r="56" spans="3:23">
      <c r="C56" s="248"/>
      <c r="D56" s="248"/>
      <c r="E56" s="249"/>
      <c r="F56" s="249"/>
      <c r="G56" s="249"/>
      <c r="H56" s="249"/>
      <c r="I56" s="249"/>
      <c r="J56" s="249"/>
      <c r="K56" s="249"/>
      <c r="L56" s="249"/>
      <c r="M56" s="249"/>
    </row>
    <row r="57" spans="3:23" ht="14.1" customHeight="1"/>
    <row r="58" spans="3:23" ht="14.1" customHeight="1">
      <c r="C58" s="248" t="s">
        <v>94</v>
      </c>
      <c r="D58" s="248"/>
      <c r="E58" s="249" t="str">
        <f>IF(OR('Einstellblatt Einspeiseanlage'!C15="",'Einstellblatt Einspeiseanlage'!E15= "",'Einstellblatt Einspeiseanlage'!G15= ""), _xlfn.CONCAT("Info: Sie können Ihrem Dokument noch optional ", IF('Einstellblatt Einspeiseanlage'!C15="","'Anlage' ",""), IF('Einstellblatt Einspeiseanlage'!E15="","'Ausführung' ",""), IF('Einstellblatt Einspeiseanlage'!G15="","'Notizen' ",""), "als Information hinzufügen"), "Alles in Ordnung")</f>
        <v>Info: Sie können Ihrem Dokument noch optional 'Anlage' 'Ausführung' 'Notizen' als Information hinzufügen</v>
      </c>
      <c r="F58" s="249"/>
      <c r="G58" s="249"/>
      <c r="H58" s="249"/>
      <c r="I58" s="249"/>
      <c r="J58" s="249"/>
      <c r="K58" s="249"/>
      <c r="L58" s="249"/>
      <c r="M58" s="59"/>
    </row>
    <row r="59" spans="3:23">
      <c r="C59" s="248"/>
      <c r="D59" s="248"/>
      <c r="E59" s="249"/>
      <c r="F59" s="249"/>
      <c r="G59" s="249"/>
      <c r="H59" s="249"/>
      <c r="I59" s="249"/>
      <c r="J59" s="249"/>
      <c r="K59" s="249"/>
      <c r="L59" s="249"/>
      <c r="M59" s="59"/>
    </row>
    <row r="60" spans="3:23" ht="14.1" customHeight="1">
      <c r="F60" s="59"/>
      <c r="G60" s="59"/>
      <c r="H60" s="59"/>
      <c r="I60" s="59"/>
      <c r="J60" s="59"/>
      <c r="K60" s="59"/>
      <c r="L60" s="59"/>
      <c r="M60" s="59"/>
    </row>
    <row r="61" spans="3:23" ht="14.1" customHeight="1">
      <c r="C61" s="248" t="s">
        <v>34</v>
      </c>
      <c r="D61" s="248"/>
      <c r="E61" s="251" t="str">
        <f>IF(D5=2,"ACHTUNG! LVRT-Fähigkeit wurde auf NEIN gestellt!", "Keine Warnungen anstehend")</f>
        <v>Keine Warnungen anstehend</v>
      </c>
      <c r="F61" s="251"/>
      <c r="G61" s="251"/>
      <c r="H61" s="251"/>
      <c r="I61" s="251"/>
      <c r="J61" s="251"/>
      <c r="K61" s="251"/>
      <c r="L61" s="251"/>
      <c r="M61" s="60"/>
    </row>
    <row r="62" spans="3:23">
      <c r="C62" s="248"/>
      <c r="D62" s="248"/>
      <c r="E62" s="251"/>
      <c r="F62" s="251"/>
      <c r="G62" s="251"/>
      <c r="H62" s="251"/>
      <c r="I62" s="251"/>
      <c r="J62" s="251"/>
      <c r="K62" s="251"/>
      <c r="L62" s="251"/>
      <c r="M62" s="60"/>
    </row>
    <row r="63" spans="3:23">
      <c r="E63" s="59"/>
      <c r="F63" s="59"/>
      <c r="G63" s="59"/>
      <c r="H63" s="59"/>
    </row>
    <row r="64" spans="3:23" ht="15.6" customHeight="1">
      <c r="C64" s="248" t="s">
        <v>95</v>
      </c>
      <c r="D64" s="248"/>
      <c r="E64" s="250" t="str">
        <f>_xlfn.CONCAT(IF(IFERROR(E48, 1)=0, "Fehler: Berechnung versagt                      ",""), IF(C5=0, "Fehler: Bitte Generatortype wählen                   ",""), IF(D5=0, "Fehler: Bitte LVRT-Fähigkeit wählen                   ",""), IF(E5=0, "Fehler: Bitte Messspannung wählen                    ",""), IF(F5=0, "Fehler: Bitte Region wählen                                        ",""), IF(AND(G22&lt;1, E5 = 1), "Fehler: Bitte Transformator-Übersetzung wählen             ",""), IF(E55&gt;1,"Keine Fehler anstehend",""))</f>
        <v>Keine Fehler anstehend</v>
      </c>
      <c r="F64" s="250"/>
      <c r="G64" s="250"/>
      <c r="H64" s="59"/>
    </row>
    <row r="65" spans="3:8">
      <c r="C65" s="58"/>
      <c r="D65" s="58"/>
      <c r="E65" s="250"/>
      <c r="F65" s="250"/>
      <c r="G65" s="250"/>
      <c r="H65" s="59"/>
    </row>
    <row r="66" spans="3:8">
      <c r="E66" s="250"/>
      <c r="F66" s="250"/>
      <c r="G66" s="250"/>
      <c r="H66" s="59"/>
    </row>
    <row r="67" spans="3:8">
      <c r="E67" s="250"/>
      <c r="F67" s="250"/>
      <c r="G67" s="250"/>
      <c r="H67" s="59"/>
    </row>
    <row r="68" spans="3:8">
      <c r="E68" s="250"/>
      <c r="F68" s="250"/>
      <c r="G68" s="250"/>
      <c r="H68" s="59"/>
    </row>
    <row r="69" spans="3:8">
      <c r="E69" s="250"/>
      <c r="F69" s="250"/>
      <c r="G69" s="250"/>
      <c r="H69" s="59"/>
    </row>
    <row r="70" spans="3:8">
      <c r="E70" s="250"/>
      <c r="F70" s="250"/>
      <c r="G70" s="250"/>
    </row>
    <row r="71" spans="3:8">
      <c r="E71" s="250"/>
      <c r="F71" s="250"/>
      <c r="G71" s="250"/>
    </row>
    <row r="72" spans="3:8">
      <c r="E72" s="250"/>
      <c r="F72" s="250"/>
      <c r="G72" s="250"/>
    </row>
  </sheetData>
  <sheetProtection selectLockedCells="1" selectUnlockedCells="1"/>
  <mergeCells count="75">
    <mergeCell ref="G39:G40"/>
    <mergeCell ref="C30:D30"/>
    <mergeCell ref="C43:F43"/>
    <mergeCell ref="J29:K29"/>
    <mergeCell ref="C32:D32"/>
    <mergeCell ref="H32:I32"/>
    <mergeCell ref="J32:K32"/>
    <mergeCell ref="J36:K36"/>
    <mergeCell ref="G33:G34"/>
    <mergeCell ref="C39:D39"/>
    <mergeCell ref="C36:D36"/>
    <mergeCell ref="H36:I36"/>
    <mergeCell ref="C37:D37"/>
    <mergeCell ref="H37:I37"/>
    <mergeCell ref="J37:K37"/>
    <mergeCell ref="L37:M37"/>
    <mergeCell ref="H38:I38"/>
    <mergeCell ref="J38:K38"/>
    <mergeCell ref="G37:G38"/>
    <mergeCell ref="L38:M38"/>
    <mergeCell ref="L32:M32"/>
    <mergeCell ref="G35:G36"/>
    <mergeCell ref="C41:D41"/>
    <mergeCell ref="C20:M20"/>
    <mergeCell ref="L29:M29"/>
    <mergeCell ref="C31:D31"/>
    <mergeCell ref="H31:I31"/>
    <mergeCell ref="J31:K31"/>
    <mergeCell ref="L31:M31"/>
    <mergeCell ref="G31:G32"/>
    <mergeCell ref="E23:E24"/>
    <mergeCell ref="F23:F24"/>
    <mergeCell ref="C27:M27"/>
    <mergeCell ref="L36:M36"/>
    <mergeCell ref="F28:F30"/>
    <mergeCell ref="L34:M34"/>
    <mergeCell ref="C3:M3"/>
    <mergeCell ref="C35:D35"/>
    <mergeCell ref="H35:I35"/>
    <mergeCell ref="J35:K35"/>
    <mergeCell ref="L35:M35"/>
    <mergeCell ref="C33:D33"/>
    <mergeCell ref="H33:I33"/>
    <mergeCell ref="J33:K33"/>
    <mergeCell ref="L33:M33"/>
    <mergeCell ref="C34:D34"/>
    <mergeCell ref="H34:I34"/>
    <mergeCell ref="J34:K34"/>
    <mergeCell ref="F5:I5"/>
    <mergeCell ref="F17:I17"/>
    <mergeCell ref="C29:D29"/>
    <mergeCell ref="H29:I29"/>
    <mergeCell ref="C49:D49"/>
    <mergeCell ref="C50:D50"/>
    <mergeCell ref="C59:D59"/>
    <mergeCell ref="P41:V41"/>
    <mergeCell ref="C48:D48"/>
    <mergeCell ref="E48:M49"/>
    <mergeCell ref="J50:K50"/>
    <mergeCell ref="E51:M52"/>
    <mergeCell ref="C51:D51"/>
    <mergeCell ref="C52:D52"/>
    <mergeCell ref="C53:D53"/>
    <mergeCell ref="O54:W55"/>
    <mergeCell ref="C46:M46"/>
    <mergeCell ref="C61:D61"/>
    <mergeCell ref="E55:M56"/>
    <mergeCell ref="C56:D56"/>
    <mergeCell ref="C58:D58"/>
    <mergeCell ref="E64:G72"/>
    <mergeCell ref="C55:D55"/>
    <mergeCell ref="E58:L59"/>
    <mergeCell ref="E61:L62"/>
    <mergeCell ref="C62:D62"/>
    <mergeCell ref="C64:D64"/>
  </mergeCells>
  <conditionalFormatting sqref="E64:G72">
    <cfRule type="containsText" dxfId="2" priority="2" operator="containsText" text="Keine Fehler">
      <formula>NOT(ISERROR(SEARCH("Keine Fehler",E64)))</formula>
    </cfRule>
  </conditionalFormatting>
  <conditionalFormatting sqref="E58:L59">
    <cfRule type="containsText" dxfId="1" priority="1" operator="containsText" text="Alles in Ordnung">
      <formula>NOT(ISERROR(SEARCH("Alles in Ordnung",E58)))</formula>
    </cfRule>
  </conditionalFormatting>
  <conditionalFormatting sqref="E61:L62">
    <cfRule type="containsText" dxfId="0" priority="3" operator="containsText" text="Keine Warnungen">
      <formula>NOT(ISERROR(SEARCH("Keine Warnungen",E61)))</formula>
    </cfRule>
  </conditionalFormatting>
  <pageMargins left="0.7" right="0.7" top="0.78740157499999996" bottom="0.78740157499999996" header="0.3" footer="0.3"/>
  <pageSetup paperSize="9" scale="45" orientation="portrait" r:id="rId1"/>
  <ignoredErrors>
    <ignoredError sqref="F5 E5" unlocked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A29674D2-B6E0-4C0C-8F39-CCCCCEEA3CE8}">
            <x14:iconSet iconSet="3Symbol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Icon iconSet="3Symbols" iconId="0"/>
              <x14:cfIcon iconSet="3Symbols" iconId="1"/>
              <x14:cfIcon iconSet="3Symbols" iconId="2"/>
            </x14:iconSet>
          </x14:cfRule>
          <xm:sqref>E55:M56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224F3-91AE-46CA-9475-6B16BF3CE5DB}">
  <sheetPr codeName="Tabelle2"/>
  <dimension ref="A1:K145"/>
  <sheetViews>
    <sheetView showGridLines="0" showRowColHeaders="0" zoomScaleNormal="100" workbookViewId="0">
      <pane ySplit="4" topLeftCell="A5" activePane="bottomLeft" state="frozen"/>
      <selection pane="bottomLeft" activeCell="A6" sqref="A6:A35"/>
    </sheetView>
  </sheetViews>
  <sheetFormatPr baseColWidth="10" defaultColWidth="10.625" defaultRowHeight="14.25"/>
  <cols>
    <col min="1" max="1" width="10.625" style="6"/>
    <col min="2" max="2" width="3.625" style="6" customWidth="1"/>
    <col min="3" max="3" width="70.625" style="6" customWidth="1"/>
    <col min="4" max="4" width="15.625" style="6" customWidth="1"/>
    <col min="5" max="8" width="3.625" style="6" customWidth="1"/>
    <col min="9" max="9" width="15.625" style="6" customWidth="1"/>
    <col min="10" max="10" width="3.625" style="6" customWidth="1"/>
    <col min="11" max="16384" width="10.625" style="6"/>
  </cols>
  <sheetData>
    <row r="1" spans="1:10" s="201" customFormat="1" ht="45" customHeight="1">
      <c r="A1" s="200" t="s">
        <v>28</v>
      </c>
    </row>
    <row r="2" spans="1:10" s="202" customFormat="1" ht="20.100000000000001" customHeight="1"/>
    <row r="3" spans="1:10" s="127" customFormat="1" ht="5.0999999999999996" customHeight="1"/>
    <row r="4" spans="1:10" ht="5.0999999999999996" customHeight="1"/>
    <row r="6" spans="1:10" ht="14.45" customHeight="1" thickBot="1">
      <c r="A6" s="204" t="s">
        <v>85</v>
      </c>
    </row>
    <row r="7" spans="1:10" ht="14.45" customHeight="1" thickBot="1">
      <c r="A7" s="204"/>
      <c r="B7" s="167"/>
      <c r="C7" s="168"/>
      <c r="D7" s="168"/>
      <c r="E7" s="169"/>
      <c r="G7" s="132"/>
      <c r="H7" s="133"/>
      <c r="I7" s="133"/>
      <c r="J7" s="134"/>
    </row>
    <row r="8" spans="1:10" ht="15.75" thickBot="1">
      <c r="A8" s="204"/>
      <c r="B8" s="170"/>
      <c r="C8" s="171" t="s">
        <v>1</v>
      </c>
      <c r="D8" s="53" t="s">
        <v>29</v>
      </c>
      <c r="E8" s="172"/>
      <c r="G8" s="148"/>
      <c r="H8" s="199" t="s">
        <v>65</v>
      </c>
      <c r="I8" s="199"/>
      <c r="J8" s="149"/>
    </row>
    <row r="9" spans="1:10" ht="15.75" thickBot="1">
      <c r="A9" s="204"/>
      <c r="B9" s="178"/>
      <c r="C9" s="179"/>
      <c r="D9" s="179"/>
      <c r="E9" s="180"/>
      <c r="G9" s="135"/>
      <c r="H9" s="136"/>
      <c r="I9" s="136"/>
      <c r="J9" s="137"/>
    </row>
    <row r="10" spans="1:10" ht="15">
      <c r="A10" s="204"/>
      <c r="B10" s="173"/>
      <c r="C10" s="7"/>
      <c r="D10" s="7"/>
      <c r="E10" s="177"/>
      <c r="G10" s="135"/>
      <c r="H10" s="138">
        <v>1</v>
      </c>
      <c r="I10" s="139" t="s">
        <v>75</v>
      </c>
      <c r="J10" s="137"/>
    </row>
    <row r="11" spans="1:10" ht="15">
      <c r="A11" s="204"/>
      <c r="B11" s="173"/>
      <c r="C11" s="55" t="s">
        <v>102</v>
      </c>
      <c r="D11" s="7"/>
      <c r="E11" s="198" t="s">
        <v>69</v>
      </c>
      <c r="G11" s="135"/>
      <c r="H11" s="138"/>
      <c r="I11" s="139"/>
      <c r="J11" s="137"/>
    </row>
    <row r="12" spans="1:10">
      <c r="A12" s="204"/>
      <c r="B12" s="173"/>
      <c r="C12" s="7"/>
      <c r="E12" s="198"/>
      <c r="G12" s="140"/>
      <c r="H12" s="141">
        <v>2</v>
      </c>
      <c r="I12" s="142" t="s">
        <v>76</v>
      </c>
      <c r="J12" s="143"/>
    </row>
    <row r="13" spans="1:10">
      <c r="A13" s="204"/>
      <c r="B13" s="173"/>
      <c r="C13" s="197"/>
      <c r="D13" s="7"/>
      <c r="E13" s="198"/>
      <c r="G13" s="140"/>
      <c r="H13" s="141"/>
      <c r="I13" s="142"/>
      <c r="J13" s="143"/>
    </row>
    <row r="14" spans="1:10">
      <c r="A14" s="204"/>
      <c r="B14" s="173"/>
      <c r="C14" s="197"/>
      <c r="D14" s="7"/>
      <c r="E14" s="198"/>
      <c r="G14" s="140"/>
      <c r="H14" s="141">
        <v>3</v>
      </c>
      <c r="I14" s="142" t="s">
        <v>3</v>
      </c>
      <c r="J14" s="143"/>
    </row>
    <row r="15" spans="1:10" ht="15" thickBot="1">
      <c r="A15" s="204"/>
      <c r="B15" s="173"/>
      <c r="C15" s="197"/>
      <c r="D15" s="7"/>
      <c r="E15" s="198"/>
      <c r="G15" s="144"/>
      <c r="H15" s="145"/>
      <c r="I15" s="146"/>
      <c r="J15" s="147"/>
    </row>
    <row r="16" spans="1:10">
      <c r="A16" s="204"/>
      <c r="B16" s="173"/>
      <c r="C16" s="197"/>
      <c r="D16" s="7"/>
      <c r="E16" s="198"/>
      <c r="G16" s="54"/>
      <c r="H16" s="56"/>
      <c r="I16" s="54"/>
      <c r="J16" s="54"/>
    </row>
    <row r="17" spans="1:8">
      <c r="A17" s="204"/>
      <c r="B17" s="173"/>
      <c r="C17" s="197"/>
      <c r="D17" s="7"/>
      <c r="E17" s="198"/>
      <c r="H17" s="56"/>
    </row>
    <row r="18" spans="1:8">
      <c r="A18" s="204"/>
      <c r="B18" s="173"/>
      <c r="C18" s="197"/>
      <c r="D18" s="7"/>
      <c r="E18" s="198"/>
      <c r="H18" s="56"/>
    </row>
    <row r="19" spans="1:8">
      <c r="A19" s="204"/>
      <c r="B19" s="173"/>
      <c r="C19" s="197"/>
      <c r="D19" s="7"/>
      <c r="E19" s="198"/>
    </row>
    <row r="20" spans="1:8">
      <c r="A20" s="204"/>
      <c r="B20" s="173"/>
      <c r="C20" s="197"/>
      <c r="D20" s="7"/>
      <c r="E20" s="198"/>
    </row>
    <row r="21" spans="1:8">
      <c r="A21" s="204"/>
      <c r="B21" s="173"/>
      <c r="C21" s="197"/>
      <c r="D21" s="7"/>
      <c r="E21" s="198"/>
    </row>
    <row r="22" spans="1:8">
      <c r="A22" s="204"/>
      <c r="B22" s="173"/>
      <c r="C22" s="197"/>
      <c r="D22" s="7"/>
      <c r="E22" s="198"/>
    </row>
    <row r="23" spans="1:8">
      <c r="A23" s="204"/>
      <c r="B23" s="173"/>
      <c r="C23" s="197"/>
      <c r="D23" s="7"/>
      <c r="E23" s="198"/>
    </row>
    <row r="24" spans="1:8">
      <c r="A24" s="204"/>
      <c r="B24" s="173"/>
      <c r="C24" s="197"/>
      <c r="D24" s="7"/>
      <c r="E24" s="198"/>
    </row>
    <row r="25" spans="1:8" ht="15" thickBot="1">
      <c r="A25" s="204"/>
      <c r="B25" s="174"/>
      <c r="C25" s="175"/>
      <c r="D25" s="175"/>
      <c r="E25" s="176"/>
    </row>
    <row r="26" spans="1:8">
      <c r="A26" s="204"/>
    </row>
    <row r="27" spans="1:8">
      <c r="A27" s="204"/>
    </row>
    <row r="28" spans="1:8">
      <c r="A28" s="204"/>
    </row>
    <row r="29" spans="1:8">
      <c r="A29" s="204"/>
    </row>
    <row r="30" spans="1:8">
      <c r="A30" s="204"/>
    </row>
    <row r="31" spans="1:8">
      <c r="A31" s="204"/>
    </row>
    <row r="32" spans="1:8">
      <c r="A32" s="204"/>
    </row>
    <row r="33" spans="1:11">
      <c r="A33" s="204"/>
    </row>
    <row r="34" spans="1:11">
      <c r="A34" s="204"/>
    </row>
    <row r="35" spans="1:11">
      <c r="A35" s="204"/>
    </row>
    <row r="36" spans="1:11" ht="14.45" customHeight="1" thickBot="1">
      <c r="A36" s="203" t="s">
        <v>86</v>
      </c>
    </row>
    <row r="37" spans="1:11" ht="14.45" customHeight="1" thickBot="1">
      <c r="A37" s="203"/>
      <c r="B37" s="167"/>
      <c r="C37" s="168"/>
      <c r="D37" s="168"/>
      <c r="E37" s="169"/>
      <c r="G37" s="132"/>
      <c r="H37" s="133"/>
      <c r="I37" s="133"/>
      <c r="J37" s="134"/>
      <c r="K37" s="54"/>
    </row>
    <row r="38" spans="1:11" ht="15.75" thickBot="1">
      <c r="A38" s="203"/>
      <c r="B38" s="170"/>
      <c r="C38" s="171" t="s">
        <v>74</v>
      </c>
      <c r="D38" s="53" t="s">
        <v>29</v>
      </c>
      <c r="E38" s="172"/>
      <c r="G38" s="148"/>
      <c r="H38" s="199" t="s">
        <v>65</v>
      </c>
      <c r="I38" s="199"/>
      <c r="J38" s="149"/>
      <c r="K38" s="54"/>
    </row>
    <row r="39" spans="1:11" ht="15" thickBot="1">
      <c r="A39" s="203"/>
      <c r="B39" s="178"/>
      <c r="C39" s="179"/>
      <c r="D39" s="179"/>
      <c r="E39" s="180"/>
      <c r="G39" s="140"/>
      <c r="H39" s="54"/>
      <c r="I39" s="54"/>
      <c r="J39" s="143"/>
      <c r="K39" s="54"/>
    </row>
    <row r="40" spans="1:11">
      <c r="A40" s="203"/>
      <c r="B40" s="173"/>
      <c r="C40" s="7"/>
      <c r="D40" s="7"/>
      <c r="E40" s="177"/>
      <c r="G40" s="140"/>
      <c r="H40" s="141">
        <v>1</v>
      </c>
      <c r="I40" s="142" t="s">
        <v>75</v>
      </c>
      <c r="J40" s="143"/>
      <c r="K40" s="54"/>
    </row>
    <row r="41" spans="1:11" ht="14.1" customHeight="1">
      <c r="A41" s="203"/>
      <c r="B41" s="173"/>
      <c r="C41" s="197" t="s">
        <v>103</v>
      </c>
      <c r="D41" s="7"/>
      <c r="E41" s="198" t="s">
        <v>31</v>
      </c>
      <c r="G41" s="150"/>
      <c r="H41" s="138"/>
      <c r="I41" s="139"/>
      <c r="J41" s="151"/>
      <c r="K41" s="54"/>
    </row>
    <row r="42" spans="1:11" ht="15">
      <c r="A42" s="203"/>
      <c r="B42" s="173"/>
      <c r="C42" s="197"/>
      <c r="E42" s="198"/>
      <c r="G42" s="150"/>
      <c r="H42" s="138">
        <v>2</v>
      </c>
      <c r="I42" s="139" t="s">
        <v>76</v>
      </c>
      <c r="J42" s="151"/>
      <c r="K42" s="54"/>
    </row>
    <row r="43" spans="1:11" ht="14.1" customHeight="1">
      <c r="A43" s="203"/>
      <c r="B43" s="173"/>
      <c r="C43" s="197"/>
      <c r="D43" s="7"/>
      <c r="E43" s="198"/>
      <c r="G43" s="150"/>
      <c r="H43" s="138"/>
      <c r="I43" s="139"/>
      <c r="J43" s="151"/>
      <c r="K43" s="54"/>
    </row>
    <row r="44" spans="1:11">
      <c r="A44" s="203"/>
      <c r="B44" s="173"/>
      <c r="C44" s="197"/>
      <c r="D44" s="7"/>
      <c r="E44" s="198"/>
      <c r="G44" s="140"/>
      <c r="H44" s="141">
        <v>3</v>
      </c>
      <c r="I44" s="142" t="s">
        <v>3</v>
      </c>
      <c r="J44" s="143"/>
      <c r="K44" s="54"/>
    </row>
    <row r="45" spans="1:11" ht="14.1" customHeight="1" thickBot="1">
      <c r="A45" s="203"/>
      <c r="B45" s="173"/>
      <c r="C45" s="197"/>
      <c r="D45" s="7"/>
      <c r="E45" s="198"/>
      <c r="G45" s="144"/>
      <c r="H45" s="145"/>
      <c r="I45" s="146"/>
      <c r="J45" s="147"/>
      <c r="K45" s="54"/>
    </row>
    <row r="46" spans="1:11">
      <c r="A46" s="203"/>
      <c r="B46" s="173"/>
      <c r="C46" s="197"/>
      <c r="D46" s="7"/>
      <c r="E46" s="198"/>
      <c r="G46" s="54"/>
      <c r="H46" s="54"/>
      <c r="I46" s="54"/>
      <c r="J46" s="54"/>
      <c r="K46" s="54"/>
    </row>
    <row r="47" spans="1:11">
      <c r="A47" s="203"/>
      <c r="B47" s="173"/>
      <c r="C47" s="197"/>
      <c r="D47" s="7"/>
      <c r="E47" s="198"/>
    </row>
    <row r="48" spans="1:11">
      <c r="A48" s="203"/>
      <c r="B48" s="173"/>
      <c r="C48" s="197"/>
      <c r="D48" s="7"/>
      <c r="E48" s="198"/>
    </row>
    <row r="49" spans="1:5">
      <c r="A49" s="203"/>
      <c r="B49" s="173"/>
      <c r="C49" s="197"/>
      <c r="D49" s="7"/>
      <c r="E49" s="198"/>
    </row>
    <row r="50" spans="1:5">
      <c r="A50" s="203"/>
      <c r="B50" s="173"/>
      <c r="C50" s="197"/>
      <c r="D50" s="7"/>
      <c r="E50" s="198"/>
    </row>
    <row r="51" spans="1:5">
      <c r="A51" s="203"/>
      <c r="B51" s="173"/>
      <c r="C51" s="197"/>
      <c r="D51" s="7"/>
      <c r="E51" s="198"/>
    </row>
    <row r="52" spans="1:5">
      <c r="A52" s="203"/>
      <c r="B52" s="173"/>
      <c r="C52" s="197"/>
      <c r="D52" s="7"/>
      <c r="E52" s="198"/>
    </row>
    <row r="53" spans="1:5">
      <c r="A53" s="203"/>
      <c r="B53" s="173"/>
      <c r="C53" s="197"/>
      <c r="D53" s="7"/>
      <c r="E53" s="198"/>
    </row>
    <row r="54" spans="1:5">
      <c r="A54" s="203"/>
      <c r="B54" s="173"/>
      <c r="C54" s="197"/>
      <c r="D54" s="7"/>
      <c r="E54" s="198"/>
    </row>
    <row r="55" spans="1:5" ht="15" thickBot="1">
      <c r="A55" s="203"/>
      <c r="B55" s="174"/>
      <c r="C55" s="175"/>
      <c r="D55" s="175"/>
      <c r="E55" s="176"/>
    </row>
    <row r="56" spans="1:5">
      <c r="A56" s="203"/>
    </row>
    <row r="57" spans="1:5">
      <c r="A57" s="203"/>
    </row>
    <row r="58" spans="1:5">
      <c r="A58" s="203"/>
    </row>
    <row r="59" spans="1:5">
      <c r="A59" s="203"/>
    </row>
    <row r="60" spans="1:5">
      <c r="A60" s="203"/>
    </row>
    <row r="61" spans="1:5">
      <c r="A61" s="203"/>
    </row>
    <row r="62" spans="1:5">
      <c r="A62" s="203"/>
    </row>
    <row r="63" spans="1:5">
      <c r="A63" s="203"/>
    </row>
    <row r="64" spans="1:5">
      <c r="A64" s="203"/>
    </row>
    <row r="65" spans="1:10">
      <c r="A65" s="203"/>
    </row>
    <row r="66" spans="1:10" ht="14.45" customHeight="1" thickBot="1">
      <c r="A66" s="203" t="s">
        <v>87</v>
      </c>
    </row>
    <row r="67" spans="1:10" ht="14.45" customHeight="1" thickBot="1">
      <c r="A67" s="203"/>
      <c r="B67" s="167"/>
      <c r="C67" s="168"/>
      <c r="D67" s="168"/>
      <c r="E67" s="169"/>
      <c r="G67" s="152"/>
      <c r="H67" s="153"/>
      <c r="I67" s="153"/>
      <c r="J67" s="154"/>
    </row>
    <row r="68" spans="1:10" ht="15.75" thickBot="1">
      <c r="A68" s="203"/>
      <c r="B68" s="170"/>
      <c r="C68" s="171" t="s">
        <v>73</v>
      </c>
      <c r="D68" s="53" t="s">
        <v>29</v>
      </c>
      <c r="E68" s="172"/>
      <c r="G68" s="165"/>
      <c r="H68" s="199" t="s">
        <v>65</v>
      </c>
      <c r="I68" s="199"/>
      <c r="J68" s="166"/>
    </row>
    <row r="69" spans="1:10" ht="15" thickBot="1">
      <c r="A69" s="203"/>
      <c r="B69" s="178"/>
      <c r="C69" s="179"/>
      <c r="D69" s="179"/>
      <c r="E69" s="180"/>
      <c r="G69" s="155"/>
      <c r="H69" s="156"/>
      <c r="I69" s="156"/>
      <c r="J69" s="157"/>
    </row>
    <row r="70" spans="1:10">
      <c r="A70" s="203"/>
      <c r="B70" s="173"/>
      <c r="C70" s="7"/>
      <c r="D70" s="7"/>
      <c r="E70" s="177"/>
      <c r="G70" s="155"/>
      <c r="H70" s="141">
        <v>1</v>
      </c>
      <c r="I70" s="158" t="s">
        <v>75</v>
      </c>
      <c r="J70" s="157"/>
    </row>
    <row r="71" spans="1:10" ht="14.1" customHeight="1">
      <c r="A71" s="203"/>
      <c r="B71" s="173"/>
      <c r="C71" s="55" t="s">
        <v>82</v>
      </c>
      <c r="D71" s="7"/>
      <c r="E71" s="198" t="s">
        <v>30</v>
      </c>
      <c r="G71" s="155"/>
      <c r="H71" s="141"/>
      <c r="I71" s="158"/>
      <c r="J71" s="157"/>
    </row>
    <row r="72" spans="1:10">
      <c r="A72" s="203"/>
      <c r="B72" s="173"/>
      <c r="C72" s="7"/>
      <c r="E72" s="198"/>
      <c r="G72" s="155"/>
      <c r="H72" s="141">
        <v>2</v>
      </c>
      <c r="I72" s="158" t="s">
        <v>76</v>
      </c>
      <c r="J72" s="157"/>
    </row>
    <row r="73" spans="1:10" ht="14.1" customHeight="1">
      <c r="A73" s="203"/>
      <c r="B73" s="173"/>
      <c r="C73" s="197" t="s">
        <v>124</v>
      </c>
      <c r="D73" s="7"/>
      <c r="E73" s="198"/>
      <c r="G73" s="159"/>
      <c r="H73" s="138"/>
      <c r="I73" s="160"/>
      <c r="J73" s="161"/>
    </row>
    <row r="74" spans="1:10" ht="15">
      <c r="A74" s="203"/>
      <c r="B74" s="173"/>
      <c r="C74" s="197"/>
      <c r="D74" s="7"/>
      <c r="E74" s="198"/>
      <c r="G74" s="159"/>
      <c r="H74" s="138">
        <v>3</v>
      </c>
      <c r="I74" s="160" t="s">
        <v>3</v>
      </c>
      <c r="J74" s="161"/>
    </row>
    <row r="75" spans="1:10" ht="15.75" thickBot="1">
      <c r="A75" s="203"/>
      <c r="B75" s="173"/>
      <c r="C75" s="197"/>
      <c r="D75" s="7"/>
      <c r="E75" s="198"/>
      <c r="G75" s="162"/>
      <c r="H75" s="163"/>
      <c r="I75" s="163"/>
      <c r="J75" s="164"/>
    </row>
    <row r="76" spans="1:10">
      <c r="A76" s="203"/>
      <c r="B76" s="173"/>
      <c r="C76" s="197"/>
      <c r="D76" s="7"/>
      <c r="E76" s="198"/>
    </row>
    <row r="77" spans="1:10">
      <c r="A77" s="203"/>
      <c r="B77" s="173"/>
      <c r="C77" s="197"/>
      <c r="D77" s="7"/>
      <c r="E77" s="198"/>
    </row>
    <row r="78" spans="1:10">
      <c r="A78" s="203"/>
      <c r="B78" s="173"/>
      <c r="C78" s="197"/>
      <c r="D78" s="7"/>
      <c r="E78" s="198"/>
    </row>
    <row r="79" spans="1:10">
      <c r="A79" s="203"/>
      <c r="B79" s="173"/>
      <c r="C79" s="197"/>
      <c r="D79" s="7"/>
      <c r="E79" s="198"/>
    </row>
    <row r="80" spans="1:10">
      <c r="A80" s="203"/>
      <c r="B80" s="173"/>
      <c r="C80" s="197"/>
      <c r="D80" s="7"/>
      <c r="E80" s="198"/>
    </row>
    <row r="81" spans="1:5">
      <c r="A81" s="203"/>
      <c r="B81" s="173"/>
      <c r="C81" s="197"/>
      <c r="D81" s="7"/>
      <c r="E81" s="198"/>
    </row>
    <row r="82" spans="1:5">
      <c r="A82" s="203"/>
      <c r="B82" s="173"/>
      <c r="C82" s="197"/>
      <c r="D82" s="7"/>
      <c r="E82" s="198"/>
    </row>
    <row r="83" spans="1:5">
      <c r="A83" s="203"/>
      <c r="B83" s="173"/>
      <c r="C83" s="197"/>
      <c r="D83" s="7"/>
      <c r="E83" s="198"/>
    </row>
    <row r="84" spans="1:5">
      <c r="A84" s="203"/>
      <c r="B84" s="173"/>
      <c r="C84" s="197"/>
      <c r="D84" s="7"/>
      <c r="E84" s="198"/>
    </row>
    <row r="85" spans="1:5" ht="15" thickBot="1">
      <c r="A85" s="203"/>
      <c r="B85" s="174"/>
      <c r="C85" s="175"/>
      <c r="D85" s="175"/>
      <c r="E85" s="176"/>
    </row>
    <row r="86" spans="1:5">
      <c r="A86" s="203"/>
    </row>
    <row r="87" spans="1:5">
      <c r="A87" s="203"/>
    </row>
    <row r="88" spans="1:5">
      <c r="A88" s="203"/>
    </row>
    <row r="89" spans="1:5">
      <c r="A89" s="203"/>
    </row>
    <row r="90" spans="1:5">
      <c r="A90" s="203"/>
    </row>
    <row r="91" spans="1:5">
      <c r="A91" s="203"/>
    </row>
    <row r="92" spans="1:5">
      <c r="A92" s="203"/>
    </row>
    <row r="93" spans="1:5">
      <c r="A93" s="203"/>
    </row>
    <row r="94" spans="1:5">
      <c r="A94" s="203"/>
    </row>
    <row r="95" spans="1:5">
      <c r="A95" s="203"/>
    </row>
    <row r="98" spans="2:5" ht="15">
      <c r="C98" s="5"/>
      <c r="D98" s="57"/>
    </row>
    <row r="100" spans="2:5">
      <c r="B100" s="7"/>
      <c r="C100" s="7"/>
      <c r="D100" s="7"/>
      <c r="E100" s="7"/>
    </row>
    <row r="101" spans="2:5" ht="14.1" customHeight="1">
      <c r="B101" s="7"/>
      <c r="C101" s="55"/>
      <c r="D101" s="7"/>
      <c r="E101" s="196"/>
    </row>
    <row r="102" spans="2:5">
      <c r="B102" s="7"/>
      <c r="C102" s="7"/>
      <c r="E102" s="196"/>
    </row>
    <row r="103" spans="2:5" ht="14.1" customHeight="1">
      <c r="B103" s="7"/>
      <c r="C103" s="197"/>
      <c r="D103" s="7"/>
      <c r="E103" s="196"/>
    </row>
    <row r="104" spans="2:5">
      <c r="B104" s="7"/>
      <c r="C104" s="197"/>
      <c r="D104" s="7"/>
      <c r="E104" s="196"/>
    </row>
    <row r="105" spans="2:5">
      <c r="B105" s="7"/>
      <c r="C105" s="197"/>
      <c r="D105" s="7"/>
      <c r="E105" s="196"/>
    </row>
    <row r="106" spans="2:5">
      <c r="B106" s="7"/>
      <c r="C106" s="197"/>
      <c r="D106" s="7"/>
      <c r="E106" s="196"/>
    </row>
    <row r="107" spans="2:5">
      <c r="B107" s="7"/>
      <c r="C107" s="197"/>
      <c r="D107" s="7"/>
      <c r="E107" s="196"/>
    </row>
    <row r="108" spans="2:5">
      <c r="B108" s="7"/>
      <c r="C108" s="197"/>
      <c r="D108" s="7"/>
      <c r="E108" s="196"/>
    </row>
    <row r="109" spans="2:5">
      <c r="B109" s="7"/>
      <c r="C109" s="197"/>
      <c r="D109" s="7"/>
      <c r="E109" s="196"/>
    </row>
    <row r="110" spans="2:5">
      <c r="B110" s="7"/>
      <c r="C110" s="197"/>
      <c r="D110" s="7"/>
      <c r="E110" s="196"/>
    </row>
    <row r="111" spans="2:5">
      <c r="B111" s="7"/>
      <c r="C111" s="197"/>
      <c r="D111" s="7"/>
      <c r="E111" s="196"/>
    </row>
    <row r="112" spans="2:5">
      <c r="B112" s="7"/>
      <c r="C112" s="197"/>
      <c r="D112" s="7"/>
      <c r="E112" s="196"/>
    </row>
    <row r="113" spans="2:5">
      <c r="B113" s="7"/>
      <c r="C113" s="197"/>
      <c r="D113" s="7"/>
      <c r="E113" s="196"/>
    </row>
    <row r="114" spans="2:5">
      <c r="B114" s="7"/>
      <c r="C114" s="197"/>
      <c r="D114" s="7"/>
      <c r="E114" s="196"/>
    </row>
    <row r="115" spans="2:5">
      <c r="B115" s="7"/>
      <c r="C115" s="7"/>
      <c r="D115" s="7"/>
      <c r="E115" s="7"/>
    </row>
    <row r="128" spans="2:5" ht="15">
      <c r="C128" s="5"/>
      <c r="D128" s="57"/>
    </row>
    <row r="130" spans="2:5">
      <c r="B130" s="7"/>
      <c r="C130" s="7"/>
      <c r="D130" s="7"/>
      <c r="E130" s="7"/>
    </row>
    <row r="131" spans="2:5" ht="14.1" customHeight="1">
      <c r="B131" s="7"/>
      <c r="C131" s="55"/>
      <c r="D131" s="7"/>
      <c r="E131" s="196"/>
    </row>
    <row r="132" spans="2:5">
      <c r="B132" s="7"/>
      <c r="C132" s="7"/>
      <c r="E132" s="196"/>
    </row>
    <row r="133" spans="2:5" ht="14.1" customHeight="1">
      <c r="B133" s="7"/>
      <c r="C133" s="197"/>
      <c r="D133" s="7"/>
      <c r="E133" s="196"/>
    </row>
    <row r="134" spans="2:5">
      <c r="B134" s="7"/>
      <c r="C134" s="197"/>
      <c r="D134" s="7"/>
      <c r="E134" s="196"/>
    </row>
    <row r="135" spans="2:5">
      <c r="B135" s="7"/>
      <c r="C135" s="197"/>
      <c r="D135" s="7"/>
      <c r="E135" s="196"/>
    </row>
    <row r="136" spans="2:5">
      <c r="B136" s="7"/>
      <c r="C136" s="197"/>
      <c r="D136" s="7"/>
      <c r="E136" s="196"/>
    </row>
    <row r="137" spans="2:5">
      <c r="B137" s="7"/>
      <c r="C137" s="197"/>
      <c r="D137" s="7"/>
      <c r="E137" s="196"/>
    </row>
    <row r="138" spans="2:5">
      <c r="B138" s="7"/>
      <c r="C138" s="197"/>
      <c r="D138" s="7"/>
      <c r="E138" s="196"/>
    </row>
    <row r="139" spans="2:5">
      <c r="B139" s="7"/>
      <c r="C139" s="197"/>
      <c r="D139" s="7"/>
      <c r="E139" s="196"/>
    </row>
    <row r="140" spans="2:5">
      <c r="B140" s="7"/>
      <c r="C140" s="197"/>
      <c r="D140" s="7"/>
      <c r="E140" s="196"/>
    </row>
    <row r="141" spans="2:5">
      <c r="B141" s="7"/>
      <c r="C141" s="197"/>
      <c r="D141" s="7"/>
      <c r="E141" s="196"/>
    </row>
    <row r="142" spans="2:5">
      <c r="B142" s="7"/>
      <c r="C142" s="197"/>
      <c r="D142" s="7"/>
      <c r="E142" s="196"/>
    </row>
    <row r="143" spans="2:5">
      <c r="B143" s="7"/>
      <c r="C143" s="197"/>
      <c r="D143" s="7"/>
      <c r="E143" s="196"/>
    </row>
    <row r="144" spans="2:5">
      <c r="B144" s="7"/>
      <c r="C144" s="197"/>
      <c r="D144" s="7"/>
      <c r="E144" s="196"/>
    </row>
    <row r="145" spans="2:5">
      <c r="B145" s="7"/>
      <c r="C145" s="7"/>
      <c r="D145" s="7"/>
      <c r="E145" s="7"/>
    </row>
  </sheetData>
  <sheetProtection algorithmName="SHA-512" hashValue="HccIsWZgSjAHDZujf/2LdP9dKcJHD2xXA+6EcYyF0McssvpIpl7gPghx8DkXB1or7Oxtw+Q9JiT1kwSB8EYegA==" saltValue="AwrF/cYxuFWAoLN19556xw==" spinCount="100000" sheet="1"/>
  <mergeCells count="18">
    <mergeCell ref="H38:I38"/>
    <mergeCell ref="H68:I68"/>
    <mergeCell ref="A1:XFD1"/>
    <mergeCell ref="A2:XFD2"/>
    <mergeCell ref="E11:E24"/>
    <mergeCell ref="C13:C24"/>
    <mergeCell ref="H8:I8"/>
    <mergeCell ref="A66:A95"/>
    <mergeCell ref="A36:A65"/>
    <mergeCell ref="A6:A35"/>
    <mergeCell ref="E131:E144"/>
    <mergeCell ref="C133:C144"/>
    <mergeCell ref="C73:C84"/>
    <mergeCell ref="E71:E84"/>
    <mergeCell ref="E41:E54"/>
    <mergeCell ref="C103:C114"/>
    <mergeCell ref="E101:E114"/>
    <mergeCell ref="C41:C54"/>
  </mergeCells>
  <pageMargins left="0.7" right="0.7" top="0.78740157499999996" bottom="0.78740157499999996" header="0.3" footer="0.3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Einstellblatt Einspeiseanlage</vt:lpstr>
      <vt:lpstr>Genaue Daten</vt:lpstr>
      <vt:lpstr>Hilfe</vt:lpstr>
      <vt:lpstr>'Einstellblatt Einspeiseanlage'!Druckbereich</vt:lpstr>
    </vt:vector>
  </TitlesOfParts>
  <Company>Illwerke VKW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Einstellblatt Entkupplungsschutzeinrichtung Mittelspannung</dc:title>
  <dc:creator>Biechl Philip</dc:creator>
  <cp:lastModifiedBy>Bereuter Ulrich</cp:lastModifiedBy>
  <cp:lastPrinted>2025-01-08T14:06:28Z</cp:lastPrinted>
  <dcterms:created xsi:type="dcterms:W3CDTF">2024-09-23T11:02:42Z</dcterms:created>
  <dcterms:modified xsi:type="dcterms:W3CDTF">2026-09-21T07:37:34Z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85dc53-5081-464f-b3f1-1a9c87cfa205_Enabled">
    <vt:lpwstr>true</vt:lpwstr>
  </property>
  <property fmtid="{D5CDD505-2E9C-101B-9397-08002B2CF9AE}" pid="3" name="MSIP_Label_0285dc53-5081-464f-b3f1-1a9c87cfa205_SetDate">
    <vt:lpwstr>2026-09-16T09:03:01Z</vt:lpwstr>
  </property>
  <property fmtid="{D5CDD505-2E9C-101B-9397-08002B2CF9AE}" pid="4" name="MSIP_Label_0285dc53-5081-464f-b3f1-1a9c87cfa205_Method">
    <vt:lpwstr>Privileged</vt:lpwstr>
  </property>
  <property fmtid="{D5CDD505-2E9C-101B-9397-08002B2CF9AE}" pid="5" name="MSIP_Label_0285dc53-5081-464f-b3f1-1a9c87cfa205_Name">
    <vt:lpwstr>Vertraulich</vt:lpwstr>
  </property>
  <property fmtid="{D5CDD505-2E9C-101B-9397-08002B2CF9AE}" pid="6" name="MSIP_Label_0285dc53-5081-464f-b3f1-1a9c87cfa205_SiteId">
    <vt:lpwstr>63bc103c-82a4-474b-8f27-8d59f74a99e0</vt:lpwstr>
  </property>
  <property fmtid="{D5CDD505-2E9C-101B-9397-08002B2CF9AE}" pid="7" name="MSIP_Label_0285dc53-5081-464f-b3f1-1a9c87cfa205_ActionId">
    <vt:lpwstr>2ac07d44-53ee-4b1c-a162-f349df7dd8ef</vt:lpwstr>
  </property>
  <property fmtid="{D5CDD505-2E9C-101B-9397-08002B2CF9AE}" pid="8" name="MSIP_Label_0285dc53-5081-464f-b3f1-1a9c87cfa205_ContentBits">
    <vt:lpwstr>0</vt:lpwstr>
  </property>
  <property fmtid="{D5CDD505-2E9C-101B-9397-08002B2CF9AE}" pid="9" name="MSIP_Label_0285dc53-5081-464f-b3f1-1a9c87cfa205_Tag">
    <vt:lpwstr>10, 0, 1, 1</vt:lpwstr>
  </property>
</Properties>
</file>